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NW\EDM\GWB\"/>
    </mc:Choice>
  </mc:AlternateContent>
  <bookViews>
    <workbookView xWindow="-105" yWindow="-105" windowWidth="19425" windowHeight="10425" tabRatio="789" activeTab="2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X21" i="7" l="1"/>
  <c r="X25" i="7"/>
  <c r="X11" i="7"/>
  <c r="X24" i="7"/>
  <c r="X23" i="7"/>
  <c r="X20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14" i="7" l="1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P11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M11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O11" i="7"/>
  <c r="J11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1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I11" i="7"/>
  <c r="F25" i="7"/>
  <c r="F23" i="7"/>
  <c r="F21" i="7"/>
  <c r="F19" i="7"/>
  <c r="F17" i="7"/>
  <c r="F15" i="7"/>
  <c r="F26" i="7"/>
  <c r="F24" i="7"/>
  <c r="F22" i="7"/>
  <c r="F20" i="7"/>
  <c r="F18" i="7"/>
  <c r="F16" i="7"/>
  <c r="F14" i="7"/>
  <c r="F11" i="7"/>
  <c r="M8" i="4"/>
  <c r="M7" i="4"/>
  <c r="C5" i="1"/>
  <c r="D6" i="15"/>
  <c r="D6" i="7"/>
  <c r="Q18" i="7" l="1"/>
  <c r="Q15" i="7"/>
  <c r="Q11" i="7"/>
  <c r="Q20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<sst xmlns="http://schemas.openxmlformats.org/spreadsheetml/2006/main" count="1401" uniqueCount="679">
  <si>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</si>
  <si>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</si>
  <si>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</si>
  <si>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</si>
  <si>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</si>
  <si>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</si>
  <si>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</si>
  <si>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</si>
  <si>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</si>
  <si>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</si>
  <si>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</si>
  <si>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</si>
  <si>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</si>
  <si>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</si>
  <si>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</si>
  <si>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</si>
  <si>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</si>
  <si>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</si>
  <si>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</si>
  <si>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</si>
  <si>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</si>
  <si>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</si>
  <si>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</si>
  <si>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</si>
  <si>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</si>
  <si>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</si>
  <si>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</si>
  <si>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</si>
  <si>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</si>
  <si>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</si>
  <si>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</si>
  <si>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</si>
  <si>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</si>
  <si>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</si>
  <si>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</si>
  <si>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</si>
  <si>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</si>
  <si>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</si>
  <si>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</si>
  <si>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</si>
  <si>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</si>
  <si>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</si>
  <si>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</si>
  <si>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</si>
  <si>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</si>
  <si>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</si>
  <si>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</si>
  <si>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</si>
  <si>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</si>
  <si>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</si>
  <si>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</si>
  <si>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</si>
  <si>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</si>
  <si>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</si>
  <si>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</si>
  <si>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</si>
  <si>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</si>
  <si>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</si>
  <si>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</si>
  <si>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</si>
  <si>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</si>
  <si>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</si>
  <si>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</si>
  <si>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</si>
  <si>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</si>
  <si>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</si>
  <si>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</si>
  <si>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</si>
  <si>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</si>
  <si>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</si>
  <si>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</si>
  <si>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</si>
  <si>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</si>
  <si>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</si>
  <si>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</si>
  <si>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</si>
  <si>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</si>
  <si>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</si>
  <si>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</si>
  <si>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</si>
  <si>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</si>
  <si>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</si>
  <si>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</si>
  <si>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</si>
  <si>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</si>
  <si>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</si>
  <si>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</si>
  <si>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</si>
  <si>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</si>
  <si>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</si>
  <si>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</si>
  <si>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</si>
  <si>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</si>
  <si>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</si>
  <si>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</si>
  <si>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</si>
  <si>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</si>
  <si>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</si>
  <si>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</si>
  <si>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</si>
  <si>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</si>
  <si>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</si>
  <si>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</si>
  <si>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</si>
  <si>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</si>
  <si>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</si>
  <si>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</si>
  <si>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</si>
  <si>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</si>
  <si>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</si>
  <si>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</si>
  <si>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</si>
  <si>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</si>
  <si>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</si>
  <si>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</si>
  <si>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</si>
  <si>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</si>
  <si>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</si>
  <si>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</si>
  <si>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</si>
  <si>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</si>
  <si>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</si>
  <si>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</si>
  <si>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</si>
  <si>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</si>
  <si>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</si>
  <si>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</si>
  <si>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</si>
  <si>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</si>
  <si>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</si>
  <si>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</si>
  <si>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</si>
  <si>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</si>
  <si>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</si>
  <si>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</si>
  <si>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</si>
  <si>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</si>
  <si>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</si>
  <si>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</si>
  <si>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</si>
  <si>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</si>
  <si>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</si>
  <si>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</si>
  <si>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</si>
  <si>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</si>
  <si>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</si>
  <si>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</si>
  <si>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</si>
  <si>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</si>
  <si>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</si>
  <si>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</si>
  <si>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</si>
  <si>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</si>
  <si>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</si>
  <si>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</si>
  <si>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</si>
  <si>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</si>
  <si>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</si>
  <si>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</si>
  <si>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</si>
  <si>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</si>
  <si>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</si>
  <si>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</si>
  <si>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</si>
  <si>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</si>
  <si>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</si>
  <si>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</si>
  <si>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</si>
  <si>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</si>
  <si>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</si>
  <si>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</si>
  <si>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</si>
  <si>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</si>
  <si>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</si>
  <si>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</si>
  <si>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</si>
  <si>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</si>
  <si>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</si>
  <si>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</si>
  <si>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</si>
  <si>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</si>
  <si>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</si>
  <si>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</si>
  <si>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</si>
  <si>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</si>
  <si>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</si>
  <si>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</si>
  <si>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</si>
  <si>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</si>
  <si>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</si>
  <si>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</si>
  <si>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</si>
  <si>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</si>
  <si>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</si>
  <si>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</si>
  <si>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</si>
  <si>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</si>
  <si>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</si>
  <si>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</si>
  <si>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</si>
  <si>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</si>
  <si>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</si>
  <si>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</si>
  <si>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</si>
  <si>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</si>
  <si>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</si>
  <si>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</si>
  <si>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</si>
  <si>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</si>
  <si>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</si>
  <si>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</si>
  <si>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</si>
  <si>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</si>
  <si>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</si>
  <si>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</si>
  <si>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</si>
  <si>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</si>
  <si>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</si>
  <si>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</si>
  <si>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</si>
  <si>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</si>
  <si>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</si>
  <si>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</si>
  <si>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</si>
  <si>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</si>
  <si>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</si>
  <si>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</si>
  <si>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</si>
  <si>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</si>
  <si>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</si>
  <si>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</si>
  <si>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</si>
  <si>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</si>
  <si>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</si>
  <si>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</si>
  <si>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</si>
  <si>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</si>
  <si>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</si>
  <si>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</si>
  <si>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</si>
  <si>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</si>
  <si>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</si>
  <si>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</si>
  <si>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</si>
  <si>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</si>
  <si>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</si>
  <si>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</si>
  <si>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</si>
  <si>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</si>
  <si>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</si>
  <si>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</si>
  <si>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</si>
  <si>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</si>
  <si>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</si>
  <si>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</si>
  <si>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</si>
  <si>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</si>
  <si>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</si>
  <si>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</si>
  <si>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</si>
  <si>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</si>
  <si>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</si>
  <si>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</si>
  <si>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</si>
  <si>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</si>
  <si>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</si>
  <si>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</si>
  <si>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</si>
  <si>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</si>
  <si>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</si>
  <si>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</si>
  <si>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</si>
  <si>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</si>
  <si>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</si>
  <si>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</si>
  <si>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</si>
  <si>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</si>
  <si>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</si>
  <si>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</si>
  <si>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</si>
  <si>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</si>
  <si>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</si>
  <si>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</si>
  <si>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</si>
  <si>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</si>
  <si>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</si>
  <si>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</si>
  <si>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</si>
  <si>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</si>
  <si>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</si>
  <si>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</si>
  <si>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</si>
  <si>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</si>
  <si>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</si>
  <si>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</si>
  <si>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</si>
  <si>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</si>
  <si>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</si>
  <si>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</si>
  <si>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</si>
  <si>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</si>
  <si>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</si>
  <si>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</si>
  <si>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</si>
  <si>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</si>
  <si>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</si>
  <si>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</si>
  <si>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</si>
  <si>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</si>
  <si>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</si>
  <si>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</si>
  <si>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</si>
  <si>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</si>
  <si>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</si>
  <si>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</si>
  <si>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</si>
  <si>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</si>
  <si>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</si>
  <si>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</si>
  <si>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</si>
  <si>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</si>
  <si>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</si>
  <si>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</si>
  <si>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</si>
  <si>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</si>
  <si>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</si>
  <si>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</si>
  <si>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</si>
  <si>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</si>
  <si>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</si>
  <si>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</si>
  <si>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</si>
  <si>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</si>
  <si>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</si>
  <si>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</si>
  <si>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</si>
  <si>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</si>
  <si>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</si>
  <si>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</si>
  <si>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</si>
  <si>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</si>
  <si>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</si>
  <si>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</si>
  <si>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</si>
  <si>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</si>
  <si>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</si>
  <si>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</si>
  <si>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</si>
  <si>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</si>
  <si>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</si>
  <si>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</si>
  <si>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</si>
  <si>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</si>
  <si>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</si>
  <si>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</si>
  <si>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</si>
  <si>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</si>
  <si>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</si>
  <si>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</si>
  <si>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</si>
  <si>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</si>
  <si>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</si>
  <si>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</si>
  <si>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</si>
  <si>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</si>
  <si>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</si>
  <si>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</si>
  <si>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</si>
  <si>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</si>
  <si>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</si>
  <si>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</si>
  <si>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</si>
  <si>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</si>
  <si>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</si>
  <si>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</si>
  <si>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</si>
  <si>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</si>
  <si>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</si>
  <si>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</si>
  <si>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</si>
  <si>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</si>
  <si>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</si>
  <si>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</si>
  <si>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</si>
  <si>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</si>
  <si>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</si>
  <si>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</si>
  <si>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</si>
  <si>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</si>
  <si>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</si>
  <si>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</si>
  <si>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</si>
  <si>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</si>
  <si>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</si>
  <si>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</si>
  <si>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</si>
  <si>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</si>
  <si>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</si>
  <si>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</si>
  <si>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</si>
  <si>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</si>
  <si>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</si>
  <si>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</si>
  <si>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</si>
  <si>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</si>
  <si>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</si>
  <si>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</si>
  <si>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</si>
  <si>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</si>
  <si>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</si>
  <si>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</si>
  <si>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</si>
  <si>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</si>
  <si>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</si>
  <si>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</si>
  <si>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</si>
  <si>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</si>
  <si>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</si>
  <si>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</si>
  <si>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</si>
  <si>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</si>
  <si>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</si>
  <si>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</si>
  <si>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</si>
  <si>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</si>
  <si>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</si>
  <si>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</si>
  <si>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</si>
  <si>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</si>
  <si>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</si>
  <si>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</si>
  <si>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</si>
  <si>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</si>
  <si>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</si>
  <si>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</si>
  <si>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</si>
  <si>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</si>
  <si>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</si>
  <si>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</si>
  <si>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</si>
  <si>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</si>
  <si>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</si>
  <si>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</si>
  <si>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</si>
  <si>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</si>
  <si>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</si>
  <si>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</si>
  <si>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</si>
  <si>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</si>
  <si>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</si>
  <si>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</si>
  <si>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</si>
  <si>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</si>
  <si>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</si>
  <si>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</si>
  <si>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</si>
  <si>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</si>
  <si>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</si>
  <si>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</si>
  <si>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</si>
  <si>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</si>
  <si>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</si>
  <si>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</si>
  <si>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</si>
  <si>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</si>
  <si>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</si>
  <si>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</si>
  <si>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</si>
  <si>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</si>
  <si>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</si>
  <si>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</si>
  <si>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</si>
  <si>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</si>
  <si>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</si>
  <si>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</si>
  <si>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</si>
  <si>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</si>
  <si>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</si>
  <si>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</si>
  <si>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</si>
  <si>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</si>
  <si>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</si>
  <si>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</si>
  <si>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</si>
  <si>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</si>
  <si>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</si>
  <si>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</si>
  <si>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</si>
  <si>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</si>
  <si>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</si>
  <si>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</si>
  <si>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</si>
  <si>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</si>
  <si>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</si>
  <si>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</si>
  <si>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</si>
  <si>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</si>
  <si>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</si>
  <si>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</si>
  <si>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</si>
  <si>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</si>
  <si>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</si>
  <si>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</si>
  <si>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</si>
  <si>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</si>
  <si>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</si>
  <si>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</si>
  <si>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</si>
  <si>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</si>
  <si>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</si>
  <si>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</si>
  <si>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</si>
  <si>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</si>
  <si>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</si>
  <si>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</si>
  <si>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</si>
  <si>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</si>
  <si>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</si>
  <si>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</si>
  <si>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</si>
  <si>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</si>
  <si>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</si>
  <si>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</si>
  <si>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</si>
  <si>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</si>
  <si>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</si>
  <si>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</si>
  <si>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</si>
  <si>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</si>
  <si>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</si>
  <si>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</si>
  <si>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</si>
  <si>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</si>
  <si>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</si>
  <si>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</si>
  <si>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</si>
  <si>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</si>
  <si>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</si>
  <si>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</si>
  <si>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</si>
  <si>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</si>
  <si>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</si>
  <si>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</si>
  <si>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</si>
  <si>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</si>
  <si>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</si>
  <si>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</si>
  <si>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</si>
  <si>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</si>
  <si>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</si>
  <si>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</si>
  <si>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</si>
  <si>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</si>
  <si>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</si>
  <si>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</si>
  <si>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</si>
  <si>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</si>
  <si>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</si>
  <si>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</si>
  <si>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</si>
  <si>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</si>
  <si>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</si>
  <si>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</si>
  <si>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</si>
  <si>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</si>
  <si>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</si>
  <si>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</si>
  <si>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</si>
  <si>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</si>
  <si>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</si>
  <si>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</si>
  <si>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</si>
  <si>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</si>
  <si>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</si>
  <si>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</si>
  <si>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</si>
  <si>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</si>
  <si>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</si>
  <si>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</si>
  <si>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</si>
  <si>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</si>
  <si>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</si>
  <si>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</si>
  <si>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</si>
  <si>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</si>
  <si>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</si>
  <si>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</si>
  <si>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</si>
  <si>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</si>
  <si>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</si>
  <si>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</si>
  <si>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</si>
  <si>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</si>
  <si>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</si>
  <si>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</si>
  <si>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</si>
  <si>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</si>
  <si>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</si>
  <si>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</si>
  <si>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</si>
  <si>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</si>
  <si>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</si>
  <si>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</si>
  <si>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</si>
  <si>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</si>
  <si>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</si>
  <si>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</si>
  <si>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</si>
  <si>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</si>
  <si>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</si>
  <si>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</si>
  <si>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</si>
  <si>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</si>
  <si>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</si>
  <si>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</si>
  <si>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</si>
  <si>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</si>
  <si>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</si>
  <si>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</si>
  <si>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</si>
  <si>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</si>
  <si>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</si>
  <si>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</si>
  <si>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</si>
  <si>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</si>
  <si>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</si>
  <si>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</si>
  <si>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</si>
  <si>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</si>
  <si>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</si>
  <si>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</si>
  <si>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</si>
  <si>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</si>
  <si>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</si>
  <si>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</si>
  <si>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</si>
  <si>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</si>
  <si>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</si>
  <si>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</si>
  <si>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</si>
  <si>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</si>
  <si>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</si>
  <si>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</si>
  <si>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</si>
  <si>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</si>
  <si>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</si>
  <si>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</si>
  <si>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</si>
  <si>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</si>
  <si>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</si>
  <si>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</si>
  <si>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</si>
  <si>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</si>
  <si>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</si>
  <si>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</si>
  <si>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</si>
  <si>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Team EDM</t>
  </si>
  <si>
    <t>Göttingen (10444)</t>
  </si>
  <si>
    <t>Göttingen</t>
  </si>
  <si>
    <t>DE_GMK04</t>
  </si>
  <si>
    <t>DE_GHA04</t>
  </si>
  <si>
    <t>DE_GKO04</t>
  </si>
  <si>
    <t>DE_GBD04</t>
  </si>
  <si>
    <t>DE_GGA04</t>
  </si>
  <si>
    <t>DE_GBH04</t>
  </si>
  <si>
    <t>DE_GWA04</t>
  </si>
  <si>
    <t>DE_GGB04</t>
  </si>
  <si>
    <t>DE_GBA04</t>
  </si>
  <si>
    <t>DE_GPD04</t>
  </si>
  <si>
    <t>DE_GMF04</t>
  </si>
  <si>
    <t>DE_GHD04</t>
  </si>
  <si>
    <t>Gemeindewerke Bovenden GmbH &amp; Co. KG</t>
  </si>
  <si>
    <t>9870015200007</t>
  </si>
  <si>
    <t>Rathausplatz 1</t>
  </si>
  <si>
    <t>Bovenden</t>
  </si>
  <si>
    <t>netzwirtschaft@gemeindewerke-bovenden.de</t>
  </si>
  <si>
    <t>0551 / 900 333 - 223</t>
  </si>
  <si>
    <t>Gemeindewerke Bovenden</t>
  </si>
  <si>
    <t>THE0NKL700152000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</si>
</sst>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opLeftCell="A10" zoomScale="95" zoomScaleNormal="95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9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9" sqref="D2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500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501</v>
      </c>
      <c r="D6" s="27">
        <v>44470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671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42" t="s">
        <v>672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673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37120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674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656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675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676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499</v>
      </c>
      <c r="D28" s="48" t="s">
        <v>677</v>
      </c>
      <c r="E28" s="38"/>
      <c r="F28" s="11"/>
      <c r="G28" s="2"/>
    </row>
    <row r="29" spans="1:15">
      <c r="B29" s="15"/>
      <c r="C29" s="22" t="s">
        <v>393</v>
      </c>
      <c r="D29" s="45" t="s">
        <v>677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65" priority="2">
      <formula>IF(CELL("Zeile",D29)&lt;$D$25+CELL("Zeile",$D$29),1,0)</formula>
    </cfRule>
  </conditionalFormatting>
  <conditionalFormatting sqref="D30:D48">
    <cfRule type="expression" dxfId="6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abSelected="1" zoomScale="80" zoomScaleNormal="80" workbookViewId="0">
      <selection activeCell="D13" sqref="D1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Gemeindewerke Bovenden GmbH &amp; Co. KG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Gemeindewerke Bovenden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61" t="str">
        <f>Netzbetreiber!$D$11</f>
        <v>9870015200007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44470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616</v>
      </c>
      <c r="E11" s="15"/>
      <c r="H11" s="277" t="s">
        <v>615</v>
      </c>
      <c r="I11" s="277" t="s">
        <v>616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652</v>
      </c>
      <c r="D13" s="42" t="s">
        <v>678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574</v>
      </c>
      <c r="I16" s="276" t="s">
        <v>486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487</v>
      </c>
      <c r="I17" s="276" t="s">
        <v>488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612</v>
      </c>
      <c r="D19" s="49" t="s">
        <v>608</v>
      </c>
      <c r="E19" s="15"/>
      <c r="H19" s="273" t="s">
        <v>608</v>
      </c>
      <c r="I19" s="273" t="s">
        <v>609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610</v>
      </c>
      <c r="E20" s="15"/>
      <c r="H20" s="273" t="s">
        <v>611</v>
      </c>
      <c r="I20" s="8" t="s">
        <v>607</v>
      </c>
      <c r="J20" s="8"/>
      <c r="K20" s="8"/>
      <c r="L20" s="274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3" t="s">
        <v>610</v>
      </c>
      <c r="I21" s="273" t="s">
        <v>617</v>
      </c>
      <c r="J21" s="8"/>
      <c r="K21" s="8"/>
      <c r="L21" s="276" t="s">
        <v>618</v>
      </c>
      <c r="M21" s="276" t="s">
        <v>620</v>
      </c>
      <c r="N21" s="276" t="s">
        <v>619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577</v>
      </c>
      <c r="D23" s="42" t="s">
        <v>136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621</v>
      </c>
      <c r="D24" s="42" t="s">
        <v>622</v>
      </c>
      <c r="E24" s="15"/>
      <c r="H24" s="309" t="s">
        <v>622</v>
      </c>
      <c r="I24" s="275" t="s">
        <v>623</v>
      </c>
      <c r="J24" s="275" t="s">
        <v>624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625</v>
      </c>
      <c r="I25" s="276" t="s">
        <v>626</v>
      </c>
      <c r="J25" s="276" t="s">
        <v>627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628</v>
      </c>
      <c r="I26" s="276" t="s">
        <v>629</v>
      </c>
      <c r="J26" s="276" t="s">
        <v>630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576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631</v>
      </c>
      <c r="I29" s="276" t="s">
        <v>632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633</v>
      </c>
      <c r="I30" s="273" t="s">
        <v>628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491</v>
      </c>
      <c r="C32" s="24" t="s">
        <v>493</v>
      </c>
      <c r="D32" s="269">
        <v>15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548</v>
      </c>
      <c r="C34" s="5" t="s">
        <v>363</v>
      </c>
      <c r="D34" s="34">
        <v>1500000</v>
      </c>
      <c r="E34" s="15" t="s">
        <v>506</v>
      </c>
      <c r="I34" s="273"/>
      <c r="J34" s="273"/>
      <c r="K34" s="273"/>
      <c r="L34" s="273"/>
      <c r="M34" s="274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549</v>
      </c>
      <c r="C37" s="5" t="s">
        <v>364</v>
      </c>
      <c r="D37" s="36">
        <v>500</v>
      </c>
      <c r="E37" s="15" t="s">
        <v>540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60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5" t="s">
        <v>657</v>
      </c>
    </row>
    <row r="46" spans="2:39" ht="18" customHeight="1">
      <c r="C46" s="22" t="s">
        <v>586</v>
      </c>
      <c r="D46" s="45"/>
    </row>
    <row r="47" spans="2:39" ht="18" customHeight="1">
      <c r="C47" s="22" t="s">
        <v>587</v>
      </c>
      <c r="D47" s="45"/>
    </row>
    <row r="48" spans="2:39" ht="18" customHeight="1">
      <c r="C48" s="22" t="s">
        <v>588</v>
      </c>
      <c r="D48" s="45"/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</sheetData>
  <conditionalFormatting sqref="D13">
    <cfRule type="expression" dxfId="63" priority="21">
      <formula>IF(#REF!="Gaspool",1,0)</formula>
    </cfRule>
  </conditionalFormatting>
  <conditionalFormatting sqref="D46:D59">
    <cfRule type="expression" dxfId="62" priority="17">
      <formula>IF(CELL("Zeile",D46)&lt;$D$43+CELL("Zeile",$D$45),1,0)</formula>
    </cfRule>
  </conditionalFormatting>
  <conditionalFormatting sqref="D46:D59">
    <cfRule type="expression" dxfId="61" priority="16">
      <formula>IF(CELL(D46)&lt;$D$33+27,1,0)</formula>
    </cfRule>
  </conditionalFormatting>
  <conditionalFormatting sqref="D20">
    <cfRule type="expression" dxfId="60" priority="15">
      <formula>IF($D$19=$H$19,1,0)</formula>
    </cfRule>
  </conditionalFormatting>
  <conditionalFormatting sqref="D28">
    <cfRule type="expression" dxfId="59" priority="4">
      <formula>IF($D$15="synthetisch",1,0)</formula>
    </cfRule>
  </conditionalFormatting>
  <conditionalFormatting sqref="D25">
    <cfRule type="expression" dxfId="58" priority="2">
      <formula>IF(AND($D$24=$I$24,$D$23=$H$23),1,0)</formula>
    </cfRule>
  </conditionalFormatting>
  <conditionalFormatting sqref="D23:D25">
    <cfRule type="expression" dxfId="57" priority="5">
      <formula>IF($D$15="analytisch",1,0)</formula>
    </cfRule>
  </conditionalFormatting>
  <conditionalFormatting sqref="D24">
    <cfRule type="expression" dxfId="56" priority="3">
      <formula>IF($D$23="nein",1)</formula>
    </cfRule>
  </conditionalFormatting>
  <conditionalFormatting sqref="D45">
    <cfRule type="expression" dxfId="8" priority="1">
      <formula>IF(CELL("Zeile",D45)&lt;$D$46+CELL("Zeile",$D$48),1,0)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A49" zoomScaleNormal="100" workbookViewId="0">
      <selection activeCell="O15" sqref="O15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543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Gemeindewerke Bovenden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1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 t="str">
        <f>INDEX('SLP-Verfahren'!D45:D59,'SLP-Temp-Gebiet #01'!F10)</f>
        <v>Göttingen (10444)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583</v>
      </c>
      <c r="D13" s="352"/>
      <c r="E13" s="352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527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516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522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517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524</v>
      </c>
      <c r="D21" s="154" t="s">
        <v>515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536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502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519</v>
      </c>
      <c r="D24" s="189"/>
      <c r="E24" s="157" t="s">
        <v>658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514</v>
      </c>
      <c r="D25" s="189"/>
      <c r="E25" s="161">
        <v>104440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504</v>
      </c>
      <c r="F26" s="157" t="s">
        <v>503</v>
      </c>
      <c r="G26" s="157" t="s">
        <v>503</v>
      </c>
      <c r="H26" s="157" t="s">
        <v>503</v>
      </c>
      <c r="I26" s="157" t="s">
        <v>503</v>
      </c>
      <c r="J26" s="157" t="s">
        <v>503</v>
      </c>
      <c r="K26" s="157" t="s">
        <v>503</v>
      </c>
      <c r="L26" s="157" t="s">
        <v>503</v>
      </c>
      <c r="M26" s="157" t="s">
        <v>503</v>
      </c>
      <c r="N26" s="157" t="s">
        <v>503</v>
      </c>
      <c r="O26" s="186" t="s">
        <v>142</v>
      </c>
      <c r="Q26" s="212"/>
      <c r="R26" s="210" t="s">
        <v>503</v>
      </c>
      <c r="S26" s="210" t="s">
        <v>654</v>
      </c>
      <c r="T26" s="210" t="s">
        <v>655</v>
      </c>
      <c r="U26" s="210" t="s">
        <v>504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653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/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143</v>
      </c>
      <c r="P27" s="13"/>
      <c r="Q27" s="212"/>
      <c r="R27" s="210" t="s">
        <v>503</v>
      </c>
      <c r="S27" s="210" t="s">
        <v>504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518</v>
      </c>
      <c r="D29" s="131"/>
      <c r="E29" s="131"/>
      <c r="F29" s="49">
        <v>4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1</v>
      </c>
      <c r="G30" s="179">
        <f t="shared" si="2"/>
        <v>1</v>
      </c>
      <c r="H30" s="179">
        <f t="shared" si="2"/>
        <v>1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525</v>
      </c>
      <c r="D32" s="187" t="s">
        <v>255</v>
      </c>
      <c r="E32" s="288">
        <f>1-SUMPRODUCT(F30:N30,F32:N32)</f>
        <v>0.5333</v>
      </c>
      <c r="F32" s="288">
        <f>ROUND(F33/$D$33,4)</f>
        <v>0.26669999999999999</v>
      </c>
      <c r="G32" s="288">
        <f t="shared" ref="G32:N32" si="3">ROUND(G33/$D$33,4)</f>
        <v>0.1333</v>
      </c>
      <c r="H32" s="288">
        <f t="shared" si="3"/>
        <v>6.6699999999999995E-2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532</v>
      </c>
      <c r="D33" s="294">
        <f>SUMPRODUCT(E33:N33,E30:N30)</f>
        <v>1.875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 t="s">
        <v>357</v>
      </c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448</v>
      </c>
      <c r="D35" s="154" t="s">
        <v>447</v>
      </c>
      <c r="E35" s="157" t="s">
        <v>511</v>
      </c>
      <c r="F35" s="157" t="s">
        <v>511</v>
      </c>
      <c r="G35" s="157" t="s">
        <v>511</v>
      </c>
      <c r="H35" s="157" t="s">
        <v>511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511</v>
      </c>
      <c r="S35" s="68" t="s">
        <v>512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604</v>
      </c>
      <c r="D36" s="154" t="s">
        <v>605</v>
      </c>
      <c r="E36" s="157" t="s">
        <v>603</v>
      </c>
      <c r="F36" s="157" t="s">
        <v>603</v>
      </c>
      <c r="G36" s="157" t="s">
        <v>603</v>
      </c>
      <c r="H36" s="157" t="s">
        <v>603</v>
      </c>
      <c r="I36" s="157" t="s">
        <v>603</v>
      </c>
      <c r="J36" s="157" t="s">
        <v>603</v>
      </c>
      <c r="K36" s="157" t="s">
        <v>603</v>
      </c>
      <c r="L36" s="157" t="s">
        <v>603</v>
      </c>
      <c r="M36" s="157" t="s">
        <v>603</v>
      </c>
      <c r="N36" s="157" t="s">
        <v>603</v>
      </c>
      <c r="O36" s="186" t="s">
        <v>142</v>
      </c>
      <c r="Q36" s="212"/>
      <c r="R36" s="68" t="s">
        <v>603</v>
      </c>
      <c r="S36" s="68" t="s">
        <v>606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440</v>
      </c>
      <c r="D37" s="120" t="s">
        <v>537</v>
      </c>
      <c r="E37" s="163" t="s">
        <v>449</v>
      </c>
      <c r="F37" s="163" t="s">
        <v>449</v>
      </c>
      <c r="G37" s="163" t="s">
        <v>450</v>
      </c>
      <c r="H37" s="163" t="s">
        <v>450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347</v>
      </c>
      <c r="D40" s="199"/>
      <c r="E40" s="199" t="s">
        <v>530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531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523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529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534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535</v>
      </c>
      <c r="D47" s="202" t="s">
        <v>533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533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360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578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542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517</v>
      </c>
      <c r="D55" s="181" t="s">
        <v>513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524</v>
      </c>
      <c r="D56" s="154" t="s">
        <v>515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536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MeteoGroup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519</v>
      </c>
      <c r="D59" s="189"/>
      <c r="E59" s="157" t="str">
        <f>E24</f>
        <v>Göttingen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520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514</v>
      </c>
      <c r="D60" s="189"/>
      <c r="E60" s="161">
        <f>E25</f>
        <v>104440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Sonstiges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518</v>
      </c>
      <c r="D63" s="131"/>
      <c r="E63" s="131"/>
      <c r="F63" s="158">
        <f>F29</f>
        <v>4</v>
      </c>
    </row>
    <row r="64" spans="2:28" ht="15" customHeight="1">
      <c r="E64" s="179">
        <f>IF(E65&gt;$F$63,0,1)</f>
        <v>1</v>
      </c>
      <c r="F64" s="179">
        <f t="shared" ref="F64:N64" si="11">IF(F65&gt;$F$63,0,1)</f>
        <v>1</v>
      </c>
      <c r="G64" s="179">
        <f t="shared" si="11"/>
        <v>1</v>
      </c>
      <c r="H64" s="179">
        <f t="shared" si="11"/>
        <v>1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525</v>
      </c>
      <c r="D66" s="187" t="s">
        <v>255</v>
      </c>
      <c r="E66" s="288">
        <f>1-SUMPRODUCT(F64:N64,F66:N66)</f>
        <v>0.5333</v>
      </c>
      <c r="F66" s="288">
        <f>ROUND(F67/$D$67,4)</f>
        <v>0.26669999999999999</v>
      </c>
      <c r="G66" s="288">
        <f t="shared" ref="G66:N66" si="12">ROUND(G67/$D$67,4)</f>
        <v>0.1333</v>
      </c>
      <c r="H66" s="288">
        <f t="shared" si="12"/>
        <v>6.6699999999999995E-2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532</v>
      </c>
      <c r="D67" s="187">
        <f>SUMPRODUCT(E67:N67,E64:N64)</f>
        <v>1.875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448</v>
      </c>
      <c r="D69" s="154" t="s">
        <v>447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604</v>
      </c>
      <c r="D70" s="154" t="s">
        <v>605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440</v>
      </c>
      <c r="D71" s="120" t="s">
        <v>537</v>
      </c>
      <c r="E71" s="164" t="s">
        <v>450</v>
      </c>
      <c r="F71" s="164" t="s">
        <v>450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4" t="s">
        <v>579</v>
      </c>
      <c r="D73" s="354"/>
      <c r="E73" s="354"/>
      <c r="F73" s="354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55" priority="28">
      <formula>IF(E$20&lt;=$F$18,1,0)</formula>
    </cfRule>
  </conditionalFormatting>
  <conditionalFormatting sqref="E33:N37">
    <cfRule type="expression" dxfId="54" priority="27">
      <formula>IF(E$31&lt;=$F$29,1,0)</formula>
    </cfRule>
  </conditionalFormatting>
  <conditionalFormatting sqref="E26:N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7:N60">
    <cfRule type="expression" dxfId="51" priority="22">
      <formula>IF(E$55&lt;=$F$53,1,0)</formula>
    </cfRule>
  </conditionalFormatting>
  <conditionalFormatting sqref="E61:N61">
    <cfRule type="expression" dxfId="50" priority="21">
      <formula>IF(E$55&lt;=$F$53,1,0)</formula>
    </cfRule>
  </conditionalFormatting>
  <conditionalFormatting sqref="E67:N69">
    <cfRule type="expression" dxfId="49" priority="15">
      <formula>IF(E$65&lt;=$F$63,1,0)</formula>
    </cfRule>
  </conditionalFormatting>
  <conditionalFormatting sqref="E66:N69 E71:N71">
    <cfRule type="expression" dxfId="48" priority="13">
      <formula>IF(E$65&gt;$F$63,1,0)</formula>
    </cfRule>
  </conditionalFormatting>
  <conditionalFormatting sqref="E57:N61">
    <cfRule type="expression" dxfId="47" priority="12">
      <formula>IF(E$55&gt;$F$53,1,0)</formula>
    </cfRule>
  </conditionalFormatting>
  <conditionalFormatting sqref="E21:N26">
    <cfRule type="expression" dxfId="46" priority="11">
      <formula>IF(E$20&gt;$F$18,1,0)</formula>
    </cfRule>
  </conditionalFormatting>
  <conditionalFormatting sqref="E33:N37">
    <cfRule type="expression" dxfId="45" priority="10">
      <formula>IF(E$31&gt;$F$29,1,0)</formula>
    </cfRule>
  </conditionalFormatting>
  <conditionalFormatting sqref="H11 H8:H9">
    <cfRule type="expression" dxfId="44" priority="9">
      <formula>IF($F$9=1,1,0)</formula>
    </cfRule>
  </conditionalFormatting>
  <conditionalFormatting sqref="E56:N56">
    <cfRule type="expression" dxfId="43" priority="8">
      <formula>IF(E$55&gt;$F$53,1,0)</formula>
    </cfRule>
  </conditionalFormatting>
  <conditionalFormatting sqref="E32:N32">
    <cfRule type="expression" dxfId="42" priority="7">
      <formula>IF(E$31&gt;$F$29,1,0)</formula>
    </cfRule>
  </conditionalFormatting>
  <conditionalFormatting sqref="E71:N71">
    <cfRule type="expression" dxfId="41" priority="6">
      <formula>IF(E$65&lt;=$F$63,1,0)</formula>
    </cfRule>
  </conditionalFormatting>
  <conditionalFormatting sqref="H10">
    <cfRule type="expression" dxfId="40" priority="5">
      <formula>IF($F$9=1,1,0)</formula>
    </cfRule>
  </conditionalFormatting>
  <conditionalFormatting sqref="E70:N70">
    <cfRule type="expression" dxfId="39" priority="2">
      <formula>IF(E$65&lt;=$F$63,1,0)</formula>
    </cfRule>
  </conditionalFormatting>
  <conditionalFormatting sqref="E70:N70">
    <cfRule type="expression" dxfId="38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543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Gemeindewerke Bovenden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2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583</v>
      </c>
      <c r="D13" s="352"/>
      <c r="E13" s="352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527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516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522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517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524</v>
      </c>
      <c r="D21" s="154" t="s">
        <v>515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536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519</v>
      </c>
      <c r="D24" s="189"/>
      <c r="E24" s="157" t="s">
        <v>580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514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503</v>
      </c>
      <c r="F26" s="157" t="s">
        <v>503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503</v>
      </c>
      <c r="S26" s="68" t="s">
        <v>504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518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525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532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>
      <c r="B34" s="184"/>
      <c r="C34" s="188" t="s">
        <v>448</v>
      </c>
      <c r="D34" s="154" t="s">
        <v>447</v>
      </c>
      <c r="E34" s="157" t="s">
        <v>511</v>
      </c>
      <c r="F34" s="157" t="s">
        <v>511</v>
      </c>
      <c r="G34" s="157" t="s">
        <v>511</v>
      </c>
      <c r="H34" s="157" t="s">
        <v>511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511</v>
      </c>
      <c r="S34" s="68" t="s">
        <v>512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604</v>
      </c>
      <c r="D35" s="154" t="s">
        <v>605</v>
      </c>
      <c r="E35" s="157" t="s">
        <v>603</v>
      </c>
      <c r="F35" s="157" t="s">
        <v>603</v>
      </c>
      <c r="G35" s="157" t="s">
        <v>603</v>
      </c>
      <c r="H35" s="157" t="s">
        <v>603</v>
      </c>
      <c r="I35" s="157" t="s">
        <v>603</v>
      </c>
      <c r="J35" s="157" t="s">
        <v>603</v>
      </c>
      <c r="K35" s="157" t="s">
        <v>603</v>
      </c>
      <c r="L35" s="157" t="s">
        <v>603</v>
      </c>
      <c r="M35" s="157" t="s">
        <v>603</v>
      </c>
      <c r="N35" s="157" t="s">
        <v>603</v>
      </c>
      <c r="O35" s="186" t="s">
        <v>142</v>
      </c>
      <c r="Q35" s="212"/>
      <c r="R35" s="68" t="s">
        <v>603</v>
      </c>
      <c r="S35" s="68" t="s">
        <v>606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440</v>
      </c>
      <c r="D36" s="120" t="s">
        <v>537</v>
      </c>
      <c r="E36" s="163" t="s">
        <v>449</v>
      </c>
      <c r="F36" s="163" t="s">
        <v>449</v>
      </c>
      <c r="G36" s="163" t="s">
        <v>450</v>
      </c>
      <c r="H36" s="163" t="s">
        <v>450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347</v>
      </c>
      <c r="D39" s="199"/>
      <c r="E39" s="199" t="s">
        <v>530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523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534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535</v>
      </c>
      <c r="D46" s="202" t="s">
        <v>533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360</v>
      </c>
      <c r="K46" s="199"/>
      <c r="L46" s="199"/>
      <c r="M46" s="199"/>
      <c r="N46" s="199"/>
      <c r="O46" s="200"/>
    </row>
    <row r="47" spans="2:28">
      <c r="B47" s="194"/>
      <c r="C47" s="201" t="s">
        <v>346</v>
      </c>
      <c r="D47" s="202" t="s">
        <v>533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578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542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517</v>
      </c>
      <c r="D54" s="181" t="s">
        <v>513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524</v>
      </c>
      <c r="D55" s="154" t="s">
        <v>515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536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519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520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518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525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532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>
      <c r="B68" s="184"/>
      <c r="C68" s="188" t="s">
        <v>448</v>
      </c>
      <c r="D68" s="154" t="s">
        <v>447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>
      <c r="B69" s="184"/>
      <c r="C69" s="188" t="s">
        <v>604</v>
      </c>
      <c r="D69" s="154" t="s">
        <v>605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>
      <c r="B70" s="184"/>
      <c r="C70" s="193" t="s">
        <v>440</v>
      </c>
      <c r="D70" s="120" t="s">
        <v>537</v>
      </c>
      <c r="E70" s="164" t="s">
        <v>450</v>
      </c>
      <c r="F70" s="164" t="s">
        <v>450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/>
    <row r="72" spans="2:15" ht="15.75" customHeight="1">
      <c r="C72" s="354" t="s">
        <v>579</v>
      </c>
      <c r="D72" s="354"/>
      <c r="E72" s="354"/>
      <c r="F72" s="35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N31" sqref="N31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Gemeindewerke Bovenden GmbH &amp; Co. KG</v>
      </c>
      <c r="E5" s="131"/>
      <c r="H5" s="89" t="s">
        <v>495</v>
      </c>
      <c r="I5" s="132" t="s">
        <v>498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Gemeindewerke Bovenden</v>
      </c>
      <c r="E6" s="131"/>
      <c r="F6" s="131"/>
      <c r="I6" s="132" t="s">
        <v>508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54" t="str">
        <f>Netzbetreiber!$D$11</f>
        <v>9870015200007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44470</v>
      </c>
      <c r="E8" s="131"/>
      <c r="F8" s="131"/>
      <c r="H8" s="129" t="s">
        <v>493</v>
      </c>
      <c r="J8" s="133">
        <f>COUNTA(D12:D100)</f>
        <v>15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249</v>
      </c>
      <c r="C10" s="136" t="s">
        <v>492</v>
      </c>
      <c r="D10" s="135" t="s">
        <v>147</v>
      </c>
      <c r="E10" s="278" t="s">
        <v>510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634</v>
      </c>
      <c r="M10" s="151" t="s">
        <v>643</v>
      </c>
      <c r="N10" s="152" t="s">
        <v>644</v>
      </c>
      <c r="O10" s="152" t="s">
        <v>645</v>
      </c>
      <c r="P10" s="153" t="s">
        <v>646</v>
      </c>
      <c r="Q10" s="147" t="s">
        <v>635</v>
      </c>
      <c r="R10" s="137" t="s">
        <v>636</v>
      </c>
      <c r="S10" s="138" t="s">
        <v>637</v>
      </c>
      <c r="T10" s="138" t="s">
        <v>638</v>
      </c>
      <c r="U10" s="138" t="s">
        <v>639</v>
      </c>
      <c r="V10" s="138" t="s">
        <v>640</v>
      </c>
      <c r="W10" s="138" t="s">
        <v>641</v>
      </c>
      <c r="X10" s="139" t="s">
        <v>642</v>
      </c>
      <c r="Y10" s="306" t="s">
        <v>647</v>
      </c>
    </row>
    <row r="11" spans="2:26" ht="15.75" thickBot="1">
      <c r="B11" s="140" t="s">
        <v>494</v>
      </c>
      <c r="C11" s="141" t="s">
        <v>509</v>
      </c>
      <c r="D11" s="305" t="s">
        <v>248</v>
      </c>
      <c r="E11" s="165"/>
      <c r="F11" s="307" t="e">
        <f>VLOOKUP($E11,'BDEW-Standard'!$B$3:$M$158,F$9,0)</f>
        <v>#N/A</v>
      </c>
      <c r="H11" s="168" t="e">
        <f>ROUND(VLOOKUP($E11,'BDEW-Standard'!$B$3:$M$158,H$9,0),7)</f>
        <v>#N/A</v>
      </c>
      <c r="I11" s="168" t="e">
        <f>ROUND(VLOOKUP($E11,'BDEW-Standard'!$B$3:$M$158,I$9,0),7)</f>
        <v>#N/A</v>
      </c>
      <c r="J11" s="168" t="e">
        <f>ROUND(VLOOKUP($E11,'BDEW-Standard'!$B$3:$M$158,J$9,0),7)</f>
        <v>#N/A</v>
      </c>
      <c r="K11" s="168" t="e">
        <f>ROUND(VLOOKUP($E11,'BDEW-Standard'!$B$3:$M$158,K$9,0),7)</f>
        <v>#N/A</v>
      </c>
      <c r="L11" s="215" t="e">
        <f>ROUND(VLOOKUP($E11,'BDEW-Standard'!$B$3:$M$158,L$9,0),1)</f>
        <v>#N/A</v>
      </c>
      <c r="M11" s="168" t="e">
        <f>ROUND(VLOOKUP($E11,'BDEW-Standard'!$B$3:$M$158,M$9,0),7)</f>
        <v>#N/A</v>
      </c>
      <c r="N11" s="168" t="e">
        <f>ROUND(VLOOKUP($E11,'BDEW-Standard'!$B$3:$M$158,N$9,0),7)</f>
        <v>#N/A</v>
      </c>
      <c r="O11" s="168" t="e">
        <f>ROUND(VLOOKUP($E11,'BDEW-Standard'!$B$3:$M$158,O$9,0),7)</f>
        <v>#N/A</v>
      </c>
      <c r="P11" s="168" t="e">
        <f>ROUND(VLOOKUP($E11,'BDEW-Standard'!$B$3:$M$158,P$9,0),7)</f>
        <v>#N/A</v>
      </c>
      <c r="Q11" s="214" t="e">
        <f>($H11/(1+($I11/($Q$9-$L11))^$J11)+$K11)+MAX($M11*$Q$9+$N11,$O11*$Q$9+$P11)</f>
        <v>#N/A</v>
      </c>
      <c r="R11" s="169" t="e">
        <f>ROUND(VLOOKUP(MID($E11,4,3),'Wochentag F(WT)'!$B$7:$J$22,R$9,0),4)</f>
        <v>#N/A</v>
      </c>
      <c r="S11" s="169" t="e">
        <f>ROUND(VLOOKUP(MID($E11,4,3),'Wochentag F(WT)'!$B$7:$J$22,S$9,0),4)</f>
        <v>#N/A</v>
      </c>
      <c r="T11" s="169" t="e">
        <f>ROUND(VLOOKUP(MID($E11,4,3),'Wochentag F(WT)'!$B$7:$J$22,T$9,0),4)</f>
        <v>#N/A</v>
      </c>
      <c r="U11" s="169" t="e">
        <f>ROUND(VLOOKUP(MID($E11,4,3),'Wochentag F(WT)'!$B$7:$J$22,U$9,0),4)</f>
        <v>#N/A</v>
      </c>
      <c r="V11" s="169" t="e">
        <f>ROUND(VLOOKUP(MID($E11,4,3),'Wochentag F(WT)'!$B$7:$J$22,V$9,0),4)</f>
        <v>#N/A</v>
      </c>
      <c r="W11" s="169" t="e">
        <f>ROUND(VLOOKUP(MID($E11,4,3),'Wochentag F(WT)'!$B$7:$J$22,W$9,0),4)</f>
        <v>#N/A</v>
      </c>
      <c r="X11" s="170" t="e">
        <f>7-SUM(R11:W11)</f>
        <v>#N/A</v>
      </c>
      <c r="Y11" s="303">
        <v>365.12299999999999</v>
      </c>
    </row>
    <row r="12" spans="2:26">
      <c r="B12" s="142">
        <v>1</v>
      </c>
      <c r="C12" s="143" t="str">
        <f t="shared" ref="C12:C41" si="0">$D$6</f>
        <v>Gemeindewerke Bovenden</v>
      </c>
      <c r="D12" s="63" t="s">
        <v>248</v>
      </c>
      <c r="E12" s="166" t="s">
        <v>24</v>
      </c>
      <c r="F12" s="308" t="s">
        <v>288</v>
      </c>
      <c r="H12" s="279">
        <v>3.1935978</v>
      </c>
      <c r="I12" s="279">
        <v>-37.414247799999998</v>
      </c>
      <c r="J12" s="279">
        <v>6.1824021</v>
      </c>
      <c r="K12" s="279">
        <v>8.1086000000000005E-2</v>
      </c>
      <c r="L12" s="280">
        <v>40</v>
      </c>
      <c r="M12" s="279">
        <v>0</v>
      </c>
      <c r="N12" s="279">
        <v>0</v>
      </c>
      <c r="O12" s="279">
        <v>0</v>
      </c>
      <c r="P12" s="279">
        <v>0</v>
      </c>
      <c r="Q12" s="281">
        <v>0.96123311186795624</v>
      </c>
      <c r="R12" s="282">
        <v>1</v>
      </c>
      <c r="S12" s="282">
        <v>1</v>
      </c>
      <c r="T12" s="282">
        <v>1</v>
      </c>
      <c r="U12" s="282">
        <v>1</v>
      </c>
      <c r="V12" s="282">
        <v>1</v>
      </c>
      <c r="W12" s="282">
        <v>1</v>
      </c>
      <c r="X12" s="283"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Gemeindewerke Bovenden</v>
      </c>
      <c r="D13" s="63" t="s">
        <v>248</v>
      </c>
      <c r="E13" s="166" t="s">
        <v>32</v>
      </c>
      <c r="F13" s="308" t="s">
        <v>296</v>
      </c>
      <c r="H13" s="279">
        <v>2.529738</v>
      </c>
      <c r="I13" s="279">
        <v>-35.0300145</v>
      </c>
      <c r="J13" s="279">
        <v>6.2051109000000002</v>
      </c>
      <c r="K13" s="279">
        <v>0.1058318</v>
      </c>
      <c r="L13" s="280">
        <v>40</v>
      </c>
      <c r="M13" s="279">
        <v>0</v>
      </c>
      <c r="N13" s="279">
        <v>0</v>
      </c>
      <c r="O13" s="279">
        <v>0</v>
      </c>
      <c r="P13" s="279">
        <v>0</v>
      </c>
      <c r="Q13" s="281">
        <v>1.0247084991768873</v>
      </c>
      <c r="R13" s="282">
        <v>1</v>
      </c>
      <c r="S13" s="282">
        <v>1</v>
      </c>
      <c r="T13" s="282">
        <v>1</v>
      </c>
      <c r="U13" s="282">
        <v>1</v>
      </c>
      <c r="V13" s="282">
        <v>1</v>
      </c>
      <c r="W13" s="282">
        <v>1</v>
      </c>
      <c r="X13" s="283"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Gemeindewerke Bovenden</v>
      </c>
      <c r="D14" s="63" t="s">
        <v>248</v>
      </c>
      <c r="E14" s="166" t="s">
        <v>4</v>
      </c>
      <c r="F14" s="308" t="str">
        <f>VLOOKUP($E14,'BDEW-Standard'!$B$3:$M$94,F$9,0)</f>
        <v>HK3</v>
      </c>
      <c r="H14" s="279">
        <f>ROUND(VLOOKUP($E14,'BDEW-Standard'!$B$3:$M$94,H$9,0),7)</f>
        <v>0.40409319999999999</v>
      </c>
      <c r="I14" s="279">
        <f>ROUND(VLOOKUP($E14,'BDEW-Standard'!$B$3:$M$94,I$9,0),7)</f>
        <v>-24.439296800000001</v>
      </c>
      <c r="J14" s="279">
        <f>ROUND(VLOOKUP($E14,'BDEW-Standard'!$B$3:$M$94,J$9,0),7)</f>
        <v>6.5718174999999999</v>
      </c>
      <c r="K14" s="279">
        <f>ROUND(VLOOKUP($E14,'BDEW-Standard'!$B$3:$M$94,K$9,0),7)</f>
        <v>0.71077100000000004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ref="Q12:Q26" si="1">($H14/(1+($I14/($Q$9-$L14))^$J14)+$K14)+MAX($M14*$Q$9+$N14,$O14*$Q$9+$P14)</f>
        <v>1.0561214000512988</v>
      </c>
      <c r="R14" s="282">
        <f>ROUND(VLOOKUP(MID($E14,4,3),'Wochentag F(WT)'!$B$7:$J$22,R$9,0),4)</f>
        <v>1</v>
      </c>
      <c r="S14" s="282">
        <f>ROUND(VLOOKUP(MID($E14,4,3),'Wochentag F(WT)'!$B$7:$J$22,S$9,0),4)</f>
        <v>1</v>
      </c>
      <c r="T14" s="282">
        <f>ROUND(VLOOKUP(MID($E14,4,3),'Wochentag F(WT)'!$B$7:$J$22,T$9,0),4)</f>
        <v>1</v>
      </c>
      <c r="U14" s="282">
        <f>ROUND(VLOOKUP(MID($E14,4,3),'Wochentag F(WT)'!$B$7:$J$22,U$9,0),4)</f>
        <v>1</v>
      </c>
      <c r="V14" s="282">
        <f>ROUND(VLOOKUP(MID($E14,4,3),'Wochentag F(WT)'!$B$7:$J$22,V$9,0),4)</f>
        <v>1</v>
      </c>
      <c r="W14" s="282">
        <f>ROUND(VLOOKUP(MID($E14,4,3),'Wochentag F(WT)'!$B$7:$J$22,W$9,0),4)</f>
        <v>1</v>
      </c>
      <c r="X14" s="283">
        <f t="shared" ref="X13:X26" si="2">7-SUM(R14:W14)</f>
        <v>1</v>
      </c>
      <c r="Y14" s="304"/>
      <c r="Z14" s="213"/>
    </row>
    <row r="15" spans="2:26" s="144" customFormat="1">
      <c r="B15" s="145">
        <v>4</v>
      </c>
      <c r="C15" s="146" t="str">
        <f t="shared" si="0"/>
        <v>Gemeindewerke Bovenden</v>
      </c>
      <c r="D15" s="63" t="s">
        <v>248</v>
      </c>
      <c r="E15" s="166" t="s">
        <v>659</v>
      </c>
      <c r="F15" s="308" t="str">
        <f>VLOOKUP($E15,'BDEW-Standard'!$B$3:$M$94,F$9,0)</f>
        <v>MK4</v>
      </c>
      <c r="H15" s="279">
        <f>ROUND(VLOOKUP($E15,'BDEW-Standard'!$B$3:$M$94,H$9,0),7)</f>
        <v>3.1177248</v>
      </c>
      <c r="I15" s="279">
        <f>ROUND(VLOOKUP($E15,'BDEW-Standard'!$B$3:$M$94,I$9,0),7)</f>
        <v>-35.871506199999999</v>
      </c>
      <c r="J15" s="279">
        <f>ROUND(VLOOKUP($E15,'BDEW-Standard'!$B$3:$M$94,J$9,0),7)</f>
        <v>7.5186828999999999</v>
      </c>
      <c r="K15" s="279">
        <f>ROUND(VLOOKUP($E15,'BDEW-Standard'!$B$3:$M$94,K$9,0),7)</f>
        <v>3.4330100000000002E-2</v>
      </c>
      <c r="L15" s="280">
        <f>ROUND(VLOOKUP($E15,'BDEW-Standard'!$B$3:$M$94,L$9,0),1)</f>
        <v>40</v>
      </c>
      <c r="M15" s="279">
        <f>ROUND(VLOOKUP($E15,'BDEW-Standard'!$B$3:$M$94,M$9,0),7)</f>
        <v>0</v>
      </c>
      <c r="N15" s="279">
        <f>ROUND(VLOOKUP($E15,'BDEW-Standard'!$B$3:$M$94,N$9,0),7)</f>
        <v>0</v>
      </c>
      <c r="O15" s="279">
        <f>ROUND(VLOOKUP($E15,'BDEW-Standard'!$B$3:$M$94,O$9,0),7)</f>
        <v>0</v>
      </c>
      <c r="P15" s="279">
        <f>ROUND(VLOOKUP($E15,'BDEW-Standard'!$B$3:$M$94,P$9,0),7)</f>
        <v>0</v>
      </c>
      <c r="Q15" s="281">
        <f t="shared" si="1"/>
        <v>0.9622064996731321</v>
      </c>
      <c r="R15" s="282">
        <f>ROUND(VLOOKUP(MID($E15,4,3),'Wochentag F(WT)'!$B$7:$J$22,R$9,0),4)</f>
        <v>1.0699000000000001</v>
      </c>
      <c r="S15" s="282">
        <f>ROUND(VLOOKUP(MID($E15,4,3),'Wochentag F(WT)'!$B$7:$J$22,S$9,0),4)</f>
        <v>1.0365</v>
      </c>
      <c r="T15" s="282">
        <f>ROUND(VLOOKUP(MID($E15,4,3),'Wochentag F(WT)'!$B$7:$J$22,T$9,0),4)</f>
        <v>0.99329999999999996</v>
      </c>
      <c r="U15" s="282">
        <f>ROUND(VLOOKUP(MID($E15,4,3),'Wochentag F(WT)'!$B$7:$J$22,U$9,0),4)</f>
        <v>0.99480000000000002</v>
      </c>
      <c r="V15" s="282">
        <f>ROUND(VLOOKUP(MID($E15,4,3),'Wochentag F(WT)'!$B$7:$J$22,V$9,0),4)</f>
        <v>1.0659000000000001</v>
      </c>
      <c r="W15" s="282">
        <f>ROUND(VLOOKUP(MID($E15,4,3),'Wochentag F(WT)'!$B$7:$J$22,W$9,0),4)</f>
        <v>0.93620000000000003</v>
      </c>
      <c r="X15" s="283">
        <f t="shared" si="2"/>
        <v>0.90339999999999954</v>
      </c>
      <c r="Y15" s="304"/>
      <c r="Z15" s="213"/>
    </row>
    <row r="16" spans="2:26" s="144" customFormat="1">
      <c r="B16" s="145">
        <v>5</v>
      </c>
      <c r="C16" s="146" t="str">
        <f t="shared" si="0"/>
        <v>Gemeindewerke Bovenden</v>
      </c>
      <c r="D16" s="63" t="s">
        <v>248</v>
      </c>
      <c r="E16" s="166" t="s">
        <v>660</v>
      </c>
      <c r="F16" s="308" t="str">
        <f>VLOOKUP($E16,'BDEW-Standard'!$B$3:$M$94,F$9,0)</f>
        <v>HA4</v>
      </c>
      <c r="H16" s="279">
        <f>ROUND(VLOOKUP($E16,'BDEW-Standard'!$B$3:$M$94,H$9,0),7)</f>
        <v>4.0196902000000003</v>
      </c>
      <c r="I16" s="279">
        <f>ROUND(VLOOKUP($E16,'BDEW-Standard'!$B$3:$M$94,I$9,0),7)</f>
        <v>-37.828203700000003</v>
      </c>
      <c r="J16" s="279">
        <f>ROUND(VLOOKUP($E16,'BDEW-Standard'!$B$3:$M$94,J$9,0),7)</f>
        <v>8.1593368999999996</v>
      </c>
      <c r="K16" s="279">
        <f>ROUND(VLOOKUP($E16,'BDEW-Standard'!$B$3:$M$94,K$9,0),7)</f>
        <v>4.72845E-2</v>
      </c>
      <c r="L16" s="280">
        <f>ROUND(VLOOKUP($E16,'BDEW-Standard'!$B$3:$M$94,L$9,0),1)</f>
        <v>40</v>
      </c>
      <c r="M16" s="279">
        <f>ROUND(VLOOKUP($E16,'BDEW-Standard'!$B$3:$M$94,M$9,0),7)</f>
        <v>0</v>
      </c>
      <c r="N16" s="279">
        <f>ROUND(VLOOKUP($E16,'BDEW-Standard'!$B$3:$M$94,N$9,0),7)</f>
        <v>0</v>
      </c>
      <c r="O16" s="279">
        <f>ROUND(VLOOKUP($E16,'BDEW-Standard'!$B$3:$M$94,O$9,0),7)</f>
        <v>0</v>
      </c>
      <c r="P16" s="279">
        <f>ROUND(VLOOKUP($E16,'BDEW-Standard'!$B$3:$M$94,P$9,0),7)</f>
        <v>0</v>
      </c>
      <c r="Q16" s="281">
        <f t="shared" si="1"/>
        <v>0.86486713303260787</v>
      </c>
      <c r="R16" s="282">
        <f>ROUND(VLOOKUP(MID($E16,4,3),'Wochentag F(WT)'!$B$7:$J$22,R$9,0),4)</f>
        <v>1.0358000000000001</v>
      </c>
      <c r="S16" s="282">
        <f>ROUND(VLOOKUP(MID($E16,4,3),'Wochentag F(WT)'!$B$7:$J$22,S$9,0),4)</f>
        <v>1.0232000000000001</v>
      </c>
      <c r="T16" s="282">
        <f>ROUND(VLOOKUP(MID($E16,4,3),'Wochentag F(WT)'!$B$7:$J$22,T$9,0),4)</f>
        <v>1.0251999999999999</v>
      </c>
      <c r="U16" s="282">
        <f>ROUND(VLOOKUP(MID($E16,4,3),'Wochentag F(WT)'!$B$7:$J$22,U$9,0),4)</f>
        <v>1.0295000000000001</v>
      </c>
      <c r="V16" s="282">
        <f>ROUND(VLOOKUP(MID($E16,4,3),'Wochentag F(WT)'!$B$7:$J$22,V$9,0),4)</f>
        <v>1.0253000000000001</v>
      </c>
      <c r="W16" s="282">
        <f>ROUND(VLOOKUP(MID($E16,4,3),'Wochentag F(WT)'!$B$7:$J$22,W$9,0),4)</f>
        <v>0.96750000000000003</v>
      </c>
      <c r="X16" s="283">
        <f t="shared" si="2"/>
        <v>0.89350000000000041</v>
      </c>
      <c r="Y16" s="304"/>
      <c r="Z16" s="213"/>
    </row>
    <row r="17" spans="2:26" s="144" customFormat="1">
      <c r="B17" s="145">
        <v>6</v>
      </c>
      <c r="C17" s="146" t="str">
        <f t="shared" si="0"/>
        <v>Gemeindewerke Bovenden</v>
      </c>
      <c r="D17" s="63" t="s">
        <v>248</v>
      </c>
      <c r="E17" s="166" t="s">
        <v>661</v>
      </c>
      <c r="F17" s="308" t="str">
        <f>VLOOKUP($E17,'BDEW-Standard'!$B$3:$M$94,F$9,0)</f>
        <v>KO4</v>
      </c>
      <c r="H17" s="279">
        <f>ROUND(VLOOKUP($E17,'BDEW-Standard'!$B$3:$M$94,H$9,0),7)</f>
        <v>3.4428942999999999</v>
      </c>
      <c r="I17" s="279">
        <f>ROUND(VLOOKUP($E17,'BDEW-Standard'!$B$3:$M$94,I$9,0),7)</f>
        <v>-36.659050399999998</v>
      </c>
      <c r="J17" s="279">
        <f>ROUND(VLOOKUP($E17,'BDEW-Standard'!$B$3:$M$94,J$9,0),7)</f>
        <v>7.6083226000000002</v>
      </c>
      <c r="K17" s="279">
        <f>ROUND(VLOOKUP($E17,'BDEW-Standard'!$B$3:$M$94,K$9,0),7)</f>
        <v>7.4685000000000001E-2</v>
      </c>
      <c r="L17" s="280">
        <f>ROUND(VLOOKUP($E17,'BDEW-Standard'!$B$3:$M$94,L$9,0),1)</f>
        <v>40</v>
      </c>
      <c r="M17" s="279">
        <f>ROUND(VLOOKUP($E17,'BDEW-Standard'!$B$3:$M$94,M$9,0),7)</f>
        <v>0</v>
      </c>
      <c r="N17" s="279">
        <f>ROUND(VLOOKUP($E17,'BDEW-Standard'!$B$3:$M$94,N$9,0),7)</f>
        <v>0</v>
      </c>
      <c r="O17" s="279">
        <f>ROUND(VLOOKUP($E17,'BDEW-Standard'!$B$3:$M$94,O$9,0),7)</f>
        <v>0</v>
      </c>
      <c r="P17" s="279">
        <f>ROUND(VLOOKUP($E17,'BDEW-Standard'!$B$3:$M$94,P$9,0),7)</f>
        <v>0</v>
      </c>
      <c r="Q17" s="281">
        <f t="shared" si="1"/>
        <v>0.97768382110526542</v>
      </c>
      <c r="R17" s="282">
        <f>ROUND(VLOOKUP(MID($E17,4,3),'Wochentag F(WT)'!$B$7:$J$22,R$9,0),4)</f>
        <v>1.0354000000000001</v>
      </c>
      <c r="S17" s="282">
        <f>ROUND(VLOOKUP(MID($E17,4,3),'Wochentag F(WT)'!$B$7:$J$22,S$9,0),4)</f>
        <v>1.0523</v>
      </c>
      <c r="T17" s="282">
        <f>ROUND(VLOOKUP(MID($E17,4,3),'Wochentag F(WT)'!$B$7:$J$22,T$9,0),4)</f>
        <v>1.0448999999999999</v>
      </c>
      <c r="U17" s="282">
        <f>ROUND(VLOOKUP(MID($E17,4,3),'Wochentag F(WT)'!$B$7:$J$22,U$9,0),4)</f>
        <v>1.0494000000000001</v>
      </c>
      <c r="V17" s="282">
        <f>ROUND(VLOOKUP(MID($E17,4,3),'Wochentag F(WT)'!$B$7:$J$22,V$9,0),4)</f>
        <v>0.98850000000000005</v>
      </c>
      <c r="W17" s="282">
        <f>ROUND(VLOOKUP(MID($E17,4,3),'Wochentag F(WT)'!$B$7:$J$22,W$9,0),4)</f>
        <v>0.88600000000000001</v>
      </c>
      <c r="X17" s="283">
        <f t="shared" si="2"/>
        <v>0.94349999999999934</v>
      </c>
      <c r="Y17" s="304"/>
      <c r="Z17" s="213"/>
    </row>
    <row r="18" spans="2:26" s="144" customFormat="1">
      <c r="B18" s="145">
        <v>7</v>
      </c>
      <c r="C18" s="146" t="str">
        <f t="shared" si="0"/>
        <v>Gemeindewerke Bovenden</v>
      </c>
      <c r="D18" s="63" t="s">
        <v>248</v>
      </c>
      <c r="E18" s="166" t="s">
        <v>662</v>
      </c>
      <c r="F18" s="308" t="str">
        <f>VLOOKUP($E18,'BDEW-Standard'!$B$3:$M$94,F$9,0)</f>
        <v>BD4</v>
      </c>
      <c r="H18" s="279">
        <f>ROUND(VLOOKUP($E18,'BDEW-Standard'!$B$3:$M$94,H$9,0),7)</f>
        <v>3.75</v>
      </c>
      <c r="I18" s="279">
        <f>ROUND(VLOOKUP($E18,'BDEW-Standard'!$B$3:$M$94,I$9,0),7)</f>
        <v>-37.5</v>
      </c>
      <c r="J18" s="279">
        <f>ROUND(VLOOKUP($E18,'BDEW-Standard'!$B$3:$M$94,J$9,0),7)</f>
        <v>6.8</v>
      </c>
      <c r="K18" s="279">
        <f>ROUND(VLOOKUP($E18,'BDEW-Standard'!$B$3:$M$94,K$9,0),7)</f>
        <v>6.0911300000000002E-2</v>
      </c>
      <c r="L18" s="280">
        <f>ROUND(VLOOKUP($E18,'BDEW-Standard'!$B$3:$M$94,L$9,0),1)</f>
        <v>40</v>
      </c>
      <c r="M18" s="279">
        <f>ROUND(VLOOKUP($E18,'BDEW-Standard'!$B$3:$M$94,M$9,0),7)</f>
        <v>0</v>
      </c>
      <c r="N18" s="279">
        <f>ROUND(VLOOKUP($E18,'BDEW-Standard'!$B$3:$M$94,N$9,0),7)</f>
        <v>0</v>
      </c>
      <c r="O18" s="279">
        <f>ROUND(VLOOKUP($E18,'BDEW-Standard'!$B$3:$M$94,O$9,0),7)</f>
        <v>0</v>
      </c>
      <c r="P18" s="279">
        <f>ROUND(VLOOKUP($E18,'BDEW-Standard'!$B$3:$M$94,P$9,0),7)</f>
        <v>0</v>
      </c>
      <c r="Q18" s="281">
        <f t="shared" si="1"/>
        <v>1.0126136468627658</v>
      </c>
      <c r="R18" s="282">
        <f>ROUND(VLOOKUP(MID($E18,4,3),'Wochentag F(WT)'!$B$7:$J$22,R$9,0),4)</f>
        <v>1.1052</v>
      </c>
      <c r="S18" s="282">
        <f>ROUND(VLOOKUP(MID($E18,4,3),'Wochentag F(WT)'!$B$7:$J$22,S$9,0),4)</f>
        <v>1.0857000000000001</v>
      </c>
      <c r="T18" s="282">
        <f>ROUND(VLOOKUP(MID($E18,4,3),'Wochentag F(WT)'!$B$7:$J$22,T$9,0),4)</f>
        <v>1.0378000000000001</v>
      </c>
      <c r="U18" s="282">
        <f>ROUND(VLOOKUP(MID($E18,4,3),'Wochentag F(WT)'!$B$7:$J$22,U$9,0),4)</f>
        <v>1.0622</v>
      </c>
      <c r="V18" s="282">
        <f>ROUND(VLOOKUP(MID($E18,4,3),'Wochentag F(WT)'!$B$7:$J$22,V$9,0),4)</f>
        <v>1.0266</v>
      </c>
      <c r="W18" s="282">
        <f>ROUND(VLOOKUP(MID($E18,4,3),'Wochentag F(WT)'!$B$7:$J$22,W$9,0),4)</f>
        <v>0.76290000000000002</v>
      </c>
      <c r="X18" s="283">
        <f t="shared" si="2"/>
        <v>0.91959999999999997</v>
      </c>
      <c r="Y18" s="304"/>
      <c r="Z18" s="213"/>
    </row>
    <row r="19" spans="2:26" s="144" customFormat="1">
      <c r="B19" s="145">
        <v>8</v>
      </c>
      <c r="C19" s="146" t="str">
        <f t="shared" si="0"/>
        <v>Gemeindewerke Bovenden</v>
      </c>
      <c r="D19" s="63" t="s">
        <v>248</v>
      </c>
      <c r="E19" s="166" t="s">
        <v>663</v>
      </c>
      <c r="F19" s="308" t="str">
        <f>VLOOKUP($E19,'BDEW-Standard'!$B$3:$M$94,F$9,0)</f>
        <v>GA4</v>
      </c>
      <c r="H19" s="279">
        <f>ROUND(VLOOKUP($E19,'BDEW-Standard'!$B$3:$M$94,H$9,0),7)</f>
        <v>2.8195655999999998</v>
      </c>
      <c r="I19" s="279">
        <f>ROUND(VLOOKUP($E19,'BDEW-Standard'!$B$3:$M$94,I$9,0),7)</f>
        <v>-36</v>
      </c>
      <c r="J19" s="279">
        <f>ROUND(VLOOKUP($E19,'BDEW-Standard'!$B$3:$M$94,J$9,0),7)</f>
        <v>7.7368518000000002</v>
      </c>
      <c r="K19" s="279">
        <f>ROUND(VLOOKUP($E19,'BDEW-Standard'!$B$3:$M$94,K$9,0),7)</f>
        <v>0.157281</v>
      </c>
      <c r="L19" s="280">
        <f>ROUND(VLOOKUP($E19,'BDEW-Standard'!$B$3:$M$94,L$9,0),1)</f>
        <v>40</v>
      </c>
      <c r="M19" s="279">
        <f>ROUND(VLOOKUP($E19,'BDEW-Standard'!$B$3:$M$94,M$9,0),7)</f>
        <v>0</v>
      </c>
      <c r="N19" s="279">
        <f>ROUND(VLOOKUP($E19,'BDEW-Standard'!$B$3:$M$94,N$9,0),7)</f>
        <v>0</v>
      </c>
      <c r="O19" s="279">
        <f>ROUND(VLOOKUP($E19,'BDEW-Standard'!$B$3:$M$94,O$9,0),7)</f>
        <v>0</v>
      </c>
      <c r="P19" s="279">
        <f>ROUND(VLOOKUP($E19,'BDEW-Standard'!$B$3:$M$94,P$9,0),7)</f>
        <v>0</v>
      </c>
      <c r="Q19" s="281">
        <f t="shared" si="1"/>
        <v>0.96576337685759206</v>
      </c>
      <c r="R19" s="282">
        <f>ROUND(VLOOKUP(MID($E19,4,3),'Wochentag F(WT)'!$B$7:$J$22,R$9,0),4)</f>
        <v>0.93220000000000003</v>
      </c>
      <c r="S19" s="282">
        <f>ROUND(VLOOKUP(MID($E19,4,3),'Wochentag F(WT)'!$B$7:$J$22,S$9,0),4)</f>
        <v>0.98939999999999995</v>
      </c>
      <c r="T19" s="282">
        <f>ROUND(VLOOKUP(MID($E19,4,3),'Wochentag F(WT)'!$B$7:$J$22,T$9,0),4)</f>
        <v>1.0033000000000001</v>
      </c>
      <c r="U19" s="282">
        <f>ROUND(VLOOKUP(MID($E19,4,3),'Wochentag F(WT)'!$B$7:$J$22,U$9,0),4)</f>
        <v>1.0108999999999999</v>
      </c>
      <c r="V19" s="282">
        <f>ROUND(VLOOKUP(MID($E19,4,3),'Wochentag F(WT)'!$B$7:$J$22,V$9,0),4)</f>
        <v>1.018</v>
      </c>
      <c r="W19" s="282">
        <f>ROUND(VLOOKUP(MID($E19,4,3),'Wochentag F(WT)'!$B$7:$J$22,W$9,0),4)</f>
        <v>1.0356000000000001</v>
      </c>
      <c r="X19" s="283">
        <f t="shared" si="2"/>
        <v>1.0106000000000002</v>
      </c>
      <c r="Y19" s="304"/>
      <c r="Z19" s="213"/>
    </row>
    <row r="20" spans="2:26" s="144" customFormat="1">
      <c r="B20" s="145">
        <v>9</v>
      </c>
      <c r="C20" s="146" t="str">
        <f t="shared" si="0"/>
        <v>Gemeindewerke Bovenden</v>
      </c>
      <c r="D20" s="63" t="s">
        <v>248</v>
      </c>
      <c r="E20" s="166" t="s">
        <v>664</v>
      </c>
      <c r="F20" s="308" t="str">
        <f>VLOOKUP($E20,'BDEW-Standard'!$B$3:$M$94,F$9,0)</f>
        <v>BH4</v>
      </c>
      <c r="H20" s="279">
        <f>ROUND(VLOOKUP($E20,'BDEW-Standard'!$B$3:$M$94,H$9,0),7)</f>
        <v>2.4595180999999999</v>
      </c>
      <c r="I20" s="279">
        <f>ROUND(VLOOKUP($E20,'BDEW-Standard'!$B$3:$M$94,I$9,0),7)</f>
        <v>-35.253212400000002</v>
      </c>
      <c r="J20" s="279">
        <f>ROUND(VLOOKUP($E20,'BDEW-Standard'!$B$3:$M$94,J$9,0),7)</f>
        <v>6.0587001000000003</v>
      </c>
      <c r="K20" s="279">
        <f>ROUND(VLOOKUP($E20,'BDEW-Standard'!$B$3:$M$94,K$9,0),7)</f>
        <v>0.16473699999999999</v>
      </c>
      <c r="L20" s="280">
        <f>ROUND(VLOOKUP($E20,'BDEW-Standard'!$B$3:$M$94,L$9,0),1)</f>
        <v>40</v>
      </c>
      <c r="M20" s="279">
        <f>ROUND(VLOOKUP($E20,'BDEW-Standard'!$B$3:$M$94,M$9,0),7)</f>
        <v>0</v>
      </c>
      <c r="N20" s="279">
        <f>ROUND(VLOOKUP($E20,'BDEW-Standard'!$B$3:$M$94,N$9,0),7)</f>
        <v>0</v>
      </c>
      <c r="O20" s="279">
        <f>ROUND(VLOOKUP($E20,'BDEW-Standard'!$B$3:$M$94,O$9,0),7)</f>
        <v>0</v>
      </c>
      <c r="P20" s="279">
        <f>ROUND(VLOOKUP($E20,'BDEW-Standard'!$B$3:$M$94,P$9,0),7)</f>
        <v>0</v>
      </c>
      <c r="Q20" s="281">
        <f t="shared" si="1"/>
        <v>1.043802057143173</v>
      </c>
      <c r="R20" s="282">
        <f>ROUND(VLOOKUP(MID($E20,4,3),'Wochentag F(WT)'!$B$7:$J$22,R$9,0),4)</f>
        <v>0.97670000000000001</v>
      </c>
      <c r="S20" s="282">
        <f>ROUND(VLOOKUP(MID($E20,4,3),'Wochentag F(WT)'!$B$7:$J$22,S$9,0),4)</f>
        <v>1.0388999999999999</v>
      </c>
      <c r="T20" s="282">
        <f>ROUND(VLOOKUP(MID($E20,4,3),'Wochentag F(WT)'!$B$7:$J$22,T$9,0),4)</f>
        <v>1.0027999999999999</v>
      </c>
      <c r="U20" s="282">
        <f>ROUND(VLOOKUP(MID($E20,4,3),'Wochentag F(WT)'!$B$7:$J$22,U$9,0),4)</f>
        <v>1.0162</v>
      </c>
      <c r="V20" s="282">
        <f>ROUND(VLOOKUP(MID($E20,4,3),'Wochentag F(WT)'!$B$7:$J$22,V$9,0),4)</f>
        <v>1.0024</v>
      </c>
      <c r="W20" s="282">
        <f>ROUND(VLOOKUP(MID($E20,4,3),'Wochentag F(WT)'!$B$7:$J$22,W$9,0),4)</f>
        <v>1.0043</v>
      </c>
      <c r="X20" s="283">
        <f t="shared" si="2"/>
        <v>0.95870000000000122</v>
      </c>
      <c r="Y20" s="304"/>
      <c r="Z20" s="213"/>
    </row>
    <row r="21" spans="2:26" s="144" customFormat="1">
      <c r="B21" s="145">
        <v>10</v>
      </c>
      <c r="C21" s="146" t="str">
        <f t="shared" si="0"/>
        <v>Gemeindewerke Bovenden</v>
      </c>
      <c r="D21" s="63" t="s">
        <v>248</v>
      </c>
      <c r="E21" s="166" t="s">
        <v>665</v>
      </c>
      <c r="F21" s="308" t="str">
        <f>VLOOKUP($E21,'BDEW-Standard'!$B$3:$M$94,F$9,0)</f>
        <v>WA4</v>
      </c>
      <c r="H21" s="279">
        <f>ROUND(VLOOKUP($E21,'BDEW-Standard'!$B$3:$M$94,H$9,0),7)</f>
        <v>1.0535874999999999</v>
      </c>
      <c r="I21" s="279">
        <f>ROUND(VLOOKUP($E21,'BDEW-Standard'!$B$3:$M$94,I$9,0),7)</f>
        <v>-35.299999999999997</v>
      </c>
      <c r="J21" s="279">
        <f>ROUND(VLOOKUP($E21,'BDEW-Standard'!$B$3:$M$94,J$9,0),7)</f>
        <v>4.8662747</v>
      </c>
      <c r="K21" s="279">
        <f>ROUND(VLOOKUP($E21,'BDEW-Standard'!$B$3:$M$94,K$9,0),7)</f>
        <v>0.68110420000000005</v>
      </c>
      <c r="L21" s="280">
        <f>ROUND(VLOOKUP($E21,'BDEW-Standard'!$B$3:$M$94,L$9,0),1)</f>
        <v>40</v>
      </c>
      <c r="M21" s="279">
        <f>ROUND(VLOOKUP($E21,'BDEW-Standard'!$B$3:$M$94,M$9,0),7)</f>
        <v>0</v>
      </c>
      <c r="N21" s="279">
        <f>ROUND(VLOOKUP($E21,'BDEW-Standard'!$B$3:$M$94,N$9,0),7)</f>
        <v>0</v>
      </c>
      <c r="O21" s="279">
        <f>ROUND(VLOOKUP($E21,'BDEW-Standard'!$B$3:$M$94,O$9,0),7)</f>
        <v>0</v>
      </c>
      <c r="P21" s="279">
        <f>ROUND(VLOOKUP($E21,'BDEW-Standard'!$B$3:$M$94,P$9,0),7)</f>
        <v>0</v>
      </c>
      <c r="Q21" s="281">
        <f t="shared" si="1"/>
        <v>1.0844348950990992</v>
      </c>
      <c r="R21" s="282">
        <f>ROUND(VLOOKUP(MID($E21,4,3),'Wochentag F(WT)'!$B$7:$J$22,R$9,0),4)</f>
        <v>1.2457</v>
      </c>
      <c r="S21" s="282">
        <f>ROUND(VLOOKUP(MID($E21,4,3),'Wochentag F(WT)'!$B$7:$J$22,S$9,0),4)</f>
        <v>1.2615000000000001</v>
      </c>
      <c r="T21" s="282">
        <f>ROUND(VLOOKUP(MID($E21,4,3),'Wochentag F(WT)'!$B$7:$J$22,T$9,0),4)</f>
        <v>1.2706999999999999</v>
      </c>
      <c r="U21" s="282">
        <f>ROUND(VLOOKUP(MID($E21,4,3),'Wochentag F(WT)'!$B$7:$J$22,U$9,0),4)</f>
        <v>1.2430000000000001</v>
      </c>
      <c r="V21" s="282">
        <f>ROUND(VLOOKUP(MID($E21,4,3),'Wochentag F(WT)'!$B$7:$J$22,V$9,0),4)</f>
        <v>1.1275999999999999</v>
      </c>
      <c r="W21" s="282">
        <f>ROUND(VLOOKUP(MID($E21,4,3),'Wochentag F(WT)'!$B$7:$J$22,W$9,0),4)</f>
        <v>0.38769999999999999</v>
      </c>
      <c r="X21" s="283">
        <f t="shared" si="2"/>
        <v>0.46379999999999999</v>
      </c>
      <c r="Y21" s="304"/>
      <c r="Z21" s="213"/>
    </row>
    <row r="22" spans="2:26" s="144" customFormat="1">
      <c r="B22" s="145">
        <v>11</v>
      </c>
      <c r="C22" s="146" t="str">
        <f t="shared" si="0"/>
        <v>Gemeindewerke Bovenden</v>
      </c>
      <c r="D22" s="63" t="s">
        <v>248</v>
      </c>
      <c r="E22" s="166" t="s">
        <v>666</v>
      </c>
      <c r="F22" s="308" t="str">
        <f>VLOOKUP($E22,'BDEW-Standard'!$B$3:$M$94,F$9,0)</f>
        <v>GB4</v>
      </c>
      <c r="H22" s="279">
        <f>ROUND(VLOOKUP($E22,'BDEW-Standard'!$B$3:$M$94,H$9,0),7)</f>
        <v>3.6017736</v>
      </c>
      <c r="I22" s="279">
        <f>ROUND(VLOOKUP($E22,'BDEW-Standard'!$B$3:$M$94,I$9,0),7)</f>
        <v>-37.882536799999997</v>
      </c>
      <c r="J22" s="279">
        <f>ROUND(VLOOKUP($E22,'BDEW-Standard'!$B$3:$M$94,J$9,0),7)</f>
        <v>6.9836070000000001</v>
      </c>
      <c r="K22" s="279">
        <f>ROUND(VLOOKUP($E22,'BDEW-Standard'!$B$3:$M$94,K$9,0),7)</f>
        <v>5.4826199999999999E-2</v>
      </c>
      <c r="L22" s="280">
        <f>ROUND(VLOOKUP($E22,'BDEW-Standard'!$B$3:$M$94,L$9,0),1)</f>
        <v>40</v>
      </c>
      <c r="M22" s="279">
        <f>ROUND(VLOOKUP($E22,'BDEW-Standard'!$B$3:$M$94,M$9,0),7)</f>
        <v>0</v>
      </c>
      <c r="N22" s="279">
        <f>ROUND(VLOOKUP($E22,'BDEW-Standard'!$B$3:$M$94,N$9,0),7)</f>
        <v>0</v>
      </c>
      <c r="O22" s="279">
        <f>ROUND(VLOOKUP($E22,'BDEW-Standard'!$B$3:$M$94,O$9,0),7)</f>
        <v>0</v>
      </c>
      <c r="P22" s="279">
        <f>ROUND(VLOOKUP($E22,'BDEW-Standard'!$B$3:$M$94,P$9,0),7)</f>
        <v>0</v>
      </c>
      <c r="Q22" s="281">
        <f t="shared" si="1"/>
        <v>0.90239375975311864</v>
      </c>
      <c r="R22" s="282">
        <f>ROUND(VLOOKUP(MID($E22,4,3),'Wochentag F(WT)'!$B$7:$J$22,R$9,0),4)</f>
        <v>0.98970000000000002</v>
      </c>
      <c r="S22" s="282">
        <f>ROUND(VLOOKUP(MID($E22,4,3),'Wochentag F(WT)'!$B$7:$J$22,S$9,0),4)</f>
        <v>0.9627</v>
      </c>
      <c r="T22" s="282">
        <f>ROUND(VLOOKUP(MID($E22,4,3),'Wochentag F(WT)'!$B$7:$J$22,T$9,0),4)</f>
        <v>1.0507</v>
      </c>
      <c r="U22" s="282">
        <f>ROUND(VLOOKUP(MID($E22,4,3),'Wochentag F(WT)'!$B$7:$J$22,U$9,0),4)</f>
        <v>1.0551999999999999</v>
      </c>
      <c r="V22" s="282">
        <f>ROUND(VLOOKUP(MID($E22,4,3),'Wochentag F(WT)'!$B$7:$J$22,V$9,0),4)</f>
        <v>1.0297000000000001</v>
      </c>
      <c r="W22" s="282">
        <f>ROUND(VLOOKUP(MID($E22,4,3),'Wochentag F(WT)'!$B$7:$J$22,W$9,0),4)</f>
        <v>0.97670000000000001</v>
      </c>
      <c r="X22" s="283">
        <f t="shared" si="2"/>
        <v>0.9352999999999998</v>
      </c>
      <c r="Y22" s="304"/>
      <c r="Z22" s="213"/>
    </row>
    <row r="23" spans="2:26" s="144" customFormat="1">
      <c r="B23" s="145">
        <v>12</v>
      </c>
      <c r="C23" s="146" t="str">
        <f t="shared" si="0"/>
        <v>Gemeindewerke Bovenden</v>
      </c>
      <c r="D23" s="63" t="s">
        <v>248</v>
      </c>
      <c r="E23" s="166" t="s">
        <v>667</v>
      </c>
      <c r="F23" s="308" t="str">
        <f>VLOOKUP($E23,'BDEW-Standard'!$B$3:$M$94,F$9,0)</f>
        <v>BA4</v>
      </c>
      <c r="H23" s="279">
        <f>ROUND(VLOOKUP($E23,'BDEW-Standard'!$B$3:$M$94,H$9,0),7)</f>
        <v>0.93158890000000005</v>
      </c>
      <c r="I23" s="279">
        <f>ROUND(VLOOKUP($E23,'BDEW-Standard'!$B$3:$M$94,I$9,0),7)</f>
        <v>-33.35</v>
      </c>
      <c r="J23" s="279">
        <f>ROUND(VLOOKUP($E23,'BDEW-Standard'!$B$3:$M$94,J$9,0),7)</f>
        <v>5.7212303000000002</v>
      </c>
      <c r="K23" s="279">
        <f>ROUND(VLOOKUP($E23,'BDEW-Standard'!$B$3:$M$94,K$9,0),7)</f>
        <v>0.66564939999999995</v>
      </c>
      <c r="L23" s="280">
        <f>ROUND(VLOOKUP($E23,'BDEW-Standard'!$B$3:$M$94,L$9,0),1)</f>
        <v>40</v>
      </c>
      <c r="M23" s="279">
        <f>ROUND(VLOOKUP($E23,'BDEW-Standard'!$B$3:$M$94,M$9,0),7)</f>
        <v>0</v>
      </c>
      <c r="N23" s="279">
        <f>ROUND(VLOOKUP($E23,'BDEW-Standard'!$B$3:$M$94,N$9,0),7)</f>
        <v>0</v>
      </c>
      <c r="O23" s="279">
        <f>ROUND(VLOOKUP($E23,'BDEW-Standard'!$B$3:$M$94,O$9,0),7)</f>
        <v>0</v>
      </c>
      <c r="P23" s="279">
        <f>ROUND(VLOOKUP($E23,'BDEW-Standard'!$B$3:$M$94,P$9,0),7)</f>
        <v>0</v>
      </c>
      <c r="Q23" s="281">
        <f t="shared" si="1"/>
        <v>1.0766391850538448</v>
      </c>
      <c r="R23" s="282">
        <f>ROUND(VLOOKUP(MID($E23,4,3),'Wochentag F(WT)'!$B$7:$J$22,R$9,0),4)</f>
        <v>1.0848</v>
      </c>
      <c r="S23" s="282">
        <f>ROUND(VLOOKUP(MID($E23,4,3),'Wochentag F(WT)'!$B$7:$J$22,S$9,0),4)</f>
        <v>1.1211</v>
      </c>
      <c r="T23" s="282">
        <f>ROUND(VLOOKUP(MID($E23,4,3),'Wochentag F(WT)'!$B$7:$J$22,T$9,0),4)</f>
        <v>1.0769</v>
      </c>
      <c r="U23" s="282">
        <f>ROUND(VLOOKUP(MID($E23,4,3),'Wochentag F(WT)'!$B$7:$J$22,U$9,0),4)</f>
        <v>1.1353</v>
      </c>
      <c r="V23" s="282">
        <f>ROUND(VLOOKUP(MID($E23,4,3),'Wochentag F(WT)'!$B$7:$J$22,V$9,0),4)</f>
        <v>1.1402000000000001</v>
      </c>
      <c r="W23" s="282">
        <f>ROUND(VLOOKUP(MID($E23,4,3),'Wochentag F(WT)'!$B$7:$J$22,W$9,0),4)</f>
        <v>0.48520000000000002</v>
      </c>
      <c r="X23" s="283">
        <f t="shared" si="2"/>
        <v>0.95650000000000013</v>
      </c>
      <c r="Y23" s="304"/>
      <c r="Z23" s="213"/>
    </row>
    <row r="24" spans="2:26" s="144" customFormat="1">
      <c r="B24" s="145">
        <v>13</v>
      </c>
      <c r="C24" s="146" t="str">
        <f t="shared" si="0"/>
        <v>Gemeindewerke Bovenden</v>
      </c>
      <c r="D24" s="63" t="s">
        <v>248</v>
      </c>
      <c r="E24" s="166" t="s">
        <v>668</v>
      </c>
      <c r="F24" s="308" t="str">
        <f>VLOOKUP($E24,'BDEW-Standard'!$B$3:$M$94,F$9,0)</f>
        <v>PD4</v>
      </c>
      <c r="H24" s="279">
        <f>ROUND(VLOOKUP($E24,'BDEW-Standard'!$B$3:$M$94,H$9,0),7)</f>
        <v>3.85</v>
      </c>
      <c r="I24" s="279">
        <f>ROUND(VLOOKUP($E24,'BDEW-Standard'!$B$3:$M$94,I$9,0),7)</f>
        <v>-37</v>
      </c>
      <c r="J24" s="279">
        <f>ROUND(VLOOKUP($E24,'BDEW-Standard'!$B$3:$M$94,J$9,0),7)</f>
        <v>10.2405021</v>
      </c>
      <c r="K24" s="279">
        <f>ROUND(VLOOKUP($E24,'BDEW-Standard'!$B$3:$M$94,K$9,0),7)</f>
        <v>4.6924300000000002E-2</v>
      </c>
      <c r="L24" s="280">
        <f>ROUND(VLOOKUP($E24,'BDEW-Standard'!$B$3:$M$94,L$9,0),1)</f>
        <v>40</v>
      </c>
      <c r="M24" s="279">
        <f>ROUND(VLOOKUP($E24,'BDEW-Standard'!$B$3:$M$94,M$9,0),7)</f>
        <v>0</v>
      </c>
      <c r="N24" s="279">
        <f>ROUND(VLOOKUP($E24,'BDEW-Standard'!$B$3:$M$94,N$9,0),7)</f>
        <v>0</v>
      </c>
      <c r="O24" s="279">
        <f>ROUND(VLOOKUP($E24,'BDEW-Standard'!$B$3:$M$94,O$9,0),7)</f>
        <v>0</v>
      </c>
      <c r="P24" s="279">
        <f>ROUND(VLOOKUP($E24,'BDEW-Standard'!$B$3:$M$94,P$9,0),7)</f>
        <v>0</v>
      </c>
      <c r="Q24" s="281">
        <f t="shared" si="1"/>
        <v>0.75691065279879233</v>
      </c>
      <c r="R24" s="282">
        <f>ROUND(VLOOKUP(MID($E24,4,3),'Wochentag F(WT)'!$B$7:$J$22,R$9,0),4)</f>
        <v>1.0214000000000001</v>
      </c>
      <c r="S24" s="282">
        <f>ROUND(VLOOKUP(MID($E24,4,3),'Wochentag F(WT)'!$B$7:$J$22,S$9,0),4)</f>
        <v>1.0866</v>
      </c>
      <c r="T24" s="282">
        <f>ROUND(VLOOKUP(MID($E24,4,3),'Wochentag F(WT)'!$B$7:$J$22,T$9,0),4)</f>
        <v>1.0720000000000001</v>
      </c>
      <c r="U24" s="282">
        <f>ROUND(VLOOKUP(MID($E24,4,3),'Wochentag F(WT)'!$B$7:$J$22,U$9,0),4)</f>
        <v>1.0557000000000001</v>
      </c>
      <c r="V24" s="282">
        <f>ROUND(VLOOKUP(MID($E24,4,3),'Wochentag F(WT)'!$B$7:$J$22,V$9,0),4)</f>
        <v>1.0117</v>
      </c>
      <c r="W24" s="282">
        <f>ROUND(VLOOKUP(MID($E24,4,3),'Wochentag F(WT)'!$B$7:$J$22,W$9,0),4)</f>
        <v>0.90010000000000001</v>
      </c>
      <c r="X24" s="283">
        <f t="shared" si="2"/>
        <v>0.85249999999999915</v>
      </c>
      <c r="Y24" s="304"/>
      <c r="Z24" s="213"/>
    </row>
    <row r="25" spans="2:26" s="144" customFormat="1">
      <c r="B25" s="145">
        <v>14</v>
      </c>
      <c r="C25" s="146" t="str">
        <f t="shared" si="0"/>
        <v>Gemeindewerke Bovenden</v>
      </c>
      <c r="D25" s="63" t="s">
        <v>248</v>
      </c>
      <c r="E25" s="166" t="s">
        <v>669</v>
      </c>
      <c r="F25" s="308" t="str">
        <f>VLOOKUP($E25,'BDEW-Standard'!$B$3:$M$94,F$9,0)</f>
        <v>MF4</v>
      </c>
      <c r="H25" s="279">
        <f>ROUND(VLOOKUP($E25,'BDEW-Standard'!$B$3:$M$94,H$9,0),7)</f>
        <v>2.5187775000000001</v>
      </c>
      <c r="I25" s="279">
        <f>ROUND(VLOOKUP($E25,'BDEW-Standard'!$B$3:$M$94,I$9,0),7)</f>
        <v>-35.033375399999997</v>
      </c>
      <c r="J25" s="279">
        <f>ROUND(VLOOKUP($E25,'BDEW-Standard'!$B$3:$M$94,J$9,0),7)</f>
        <v>6.2240634000000004</v>
      </c>
      <c r="K25" s="279">
        <f>ROUND(VLOOKUP($E25,'BDEW-Standard'!$B$3:$M$94,K$9,0),7)</f>
        <v>0.10107820000000001</v>
      </c>
      <c r="L25" s="280">
        <f>ROUND(VLOOKUP($E25,'BDEW-Standard'!$B$3:$M$94,L$9,0),1)</f>
        <v>40</v>
      </c>
      <c r="M25" s="279">
        <f>ROUND(VLOOKUP($E25,'BDEW-Standard'!$B$3:$M$94,M$9,0),7)</f>
        <v>0</v>
      </c>
      <c r="N25" s="279">
        <f>ROUND(VLOOKUP($E25,'BDEW-Standard'!$B$3:$M$94,N$9,0),7)</f>
        <v>0</v>
      </c>
      <c r="O25" s="279">
        <f>ROUND(VLOOKUP($E25,'BDEW-Standard'!$B$3:$M$94,O$9,0),7)</f>
        <v>0</v>
      </c>
      <c r="P25" s="279">
        <f>ROUND(VLOOKUP($E25,'BDEW-Standard'!$B$3:$M$94,P$9,0),7)</f>
        <v>0</v>
      </c>
      <c r="Q25" s="281">
        <f t="shared" si="1"/>
        <v>1.0146273685996503</v>
      </c>
      <c r="R25" s="282">
        <f>ROUND(VLOOKUP(MID($E25,4,3),'Wochentag F(WT)'!$B$7:$J$22,R$9,0),4)</f>
        <v>1.0354000000000001</v>
      </c>
      <c r="S25" s="282">
        <f>ROUND(VLOOKUP(MID($E25,4,3),'Wochentag F(WT)'!$B$7:$J$22,S$9,0),4)</f>
        <v>1.0523</v>
      </c>
      <c r="T25" s="282">
        <f>ROUND(VLOOKUP(MID($E25,4,3),'Wochentag F(WT)'!$B$7:$J$22,T$9,0),4)</f>
        <v>1.0448999999999999</v>
      </c>
      <c r="U25" s="282">
        <f>ROUND(VLOOKUP(MID($E25,4,3),'Wochentag F(WT)'!$B$7:$J$22,U$9,0),4)</f>
        <v>1.0494000000000001</v>
      </c>
      <c r="V25" s="282">
        <f>ROUND(VLOOKUP(MID($E25,4,3),'Wochentag F(WT)'!$B$7:$J$22,V$9,0),4)</f>
        <v>0.98850000000000005</v>
      </c>
      <c r="W25" s="282">
        <f>ROUND(VLOOKUP(MID($E25,4,3),'Wochentag F(WT)'!$B$7:$J$22,W$9,0),4)</f>
        <v>0.88600000000000001</v>
      </c>
      <c r="X25" s="283">
        <f t="shared" si="2"/>
        <v>0.94349999999999934</v>
      </c>
      <c r="Y25" s="304"/>
      <c r="Z25" s="213"/>
    </row>
    <row r="26" spans="2:26" s="144" customFormat="1">
      <c r="B26" s="145">
        <v>15</v>
      </c>
      <c r="C26" s="146" t="str">
        <f t="shared" si="0"/>
        <v>Gemeindewerke Bovenden</v>
      </c>
      <c r="D26" s="63" t="s">
        <v>248</v>
      </c>
      <c r="E26" s="166" t="s">
        <v>670</v>
      </c>
      <c r="F26" s="308" t="str">
        <f>VLOOKUP($E26,'BDEW-Standard'!$B$3:$M$94,F$9,0)</f>
        <v>HD4</v>
      </c>
      <c r="H26" s="279">
        <f>ROUND(VLOOKUP($E26,'BDEW-Standard'!$B$3:$M$94,H$9,0),7)</f>
        <v>3.0084346000000002</v>
      </c>
      <c r="I26" s="279">
        <f>ROUND(VLOOKUP($E26,'BDEW-Standard'!$B$3:$M$94,I$9,0),7)</f>
        <v>-36.607845300000001</v>
      </c>
      <c r="J26" s="279">
        <f>ROUND(VLOOKUP($E26,'BDEW-Standard'!$B$3:$M$94,J$9,0),7)</f>
        <v>7.3211870000000001</v>
      </c>
      <c r="K26" s="279">
        <f>ROUND(VLOOKUP($E26,'BDEW-Standard'!$B$3:$M$94,K$9,0),7)</f>
        <v>0.15496599999999999</v>
      </c>
      <c r="L26" s="280">
        <f>ROUND(VLOOKUP($E26,'BDEW-Standard'!$B$3:$M$94,L$9,0),1)</f>
        <v>40</v>
      </c>
      <c r="M26" s="279">
        <f>ROUND(VLOOKUP($E26,'BDEW-Standard'!$B$3:$M$94,M$9,0),7)</f>
        <v>0</v>
      </c>
      <c r="N26" s="279">
        <f>ROUND(VLOOKUP($E26,'BDEW-Standard'!$B$3:$M$94,N$9,0),7)</f>
        <v>0</v>
      </c>
      <c r="O26" s="279">
        <f>ROUND(VLOOKUP($E26,'BDEW-Standard'!$B$3:$M$94,O$9,0),7)</f>
        <v>0</v>
      </c>
      <c r="P26" s="279">
        <f>ROUND(VLOOKUP($E26,'BDEW-Standard'!$B$3:$M$94,P$9,0),7)</f>
        <v>0</v>
      </c>
      <c r="Q26" s="281">
        <f t="shared" si="1"/>
        <v>0.97302438504000599</v>
      </c>
      <c r="R26" s="282">
        <f>ROUND(VLOOKUP(MID($E26,4,3),'Wochentag F(WT)'!$B$7:$J$22,R$9,0),4)</f>
        <v>1.03</v>
      </c>
      <c r="S26" s="282">
        <f>ROUND(VLOOKUP(MID($E26,4,3),'Wochentag F(WT)'!$B$7:$J$22,S$9,0),4)</f>
        <v>1.03</v>
      </c>
      <c r="T26" s="282">
        <f>ROUND(VLOOKUP(MID($E26,4,3),'Wochentag F(WT)'!$B$7:$J$22,T$9,0),4)</f>
        <v>1.02</v>
      </c>
      <c r="U26" s="282">
        <f>ROUND(VLOOKUP(MID($E26,4,3),'Wochentag F(WT)'!$B$7:$J$22,U$9,0),4)</f>
        <v>1.03</v>
      </c>
      <c r="V26" s="282">
        <f>ROUND(VLOOKUP(MID($E26,4,3),'Wochentag F(WT)'!$B$7:$J$22,V$9,0),4)</f>
        <v>1.01</v>
      </c>
      <c r="W26" s="282">
        <f>ROUND(VLOOKUP(MID($E26,4,3),'Wochentag F(WT)'!$B$7:$J$22,W$9,0),4)</f>
        <v>0.93</v>
      </c>
      <c r="X26" s="283">
        <f t="shared" si="2"/>
        <v>0.95000000000000018</v>
      </c>
      <c r="Y26" s="304"/>
      <c r="Z26" s="213"/>
    </row>
    <row r="27" spans="2:26" s="144" customFormat="1">
      <c r="B27" s="145">
        <v>16</v>
      </c>
      <c r="C27" s="146" t="str">
        <f t="shared" si="0"/>
        <v>Gemeindewerke Bovenden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Gemeindewerke Bovenden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Gemeindewerke Bovenden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Gemeindewerke Bovenden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Gemeindewerke Bovenden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Gemeindewerke Bovenden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Gemeindewerke Bovenden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Gemeindewerke Bovenden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Gemeindewerke Bovenden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Gemeindewerke Bovenden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Gemeindewerke Bovenden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Gemeindewerke Bovenden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Gemeindewerke Bovenden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Gemeindewerke Bovenden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Gemeindewerke Bovenden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1:Y41 F11:F41">
    <cfRule type="expression" dxfId="19" priority="9">
      <formula>ISERROR(F11)</formula>
    </cfRule>
  </conditionalFormatting>
  <conditionalFormatting sqref="Y12:Y41 E12:F41">
    <cfRule type="duplicateValues" dxfId="18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344</v>
      </c>
      <c r="B1" s="217">
        <v>42173</v>
      </c>
      <c r="D1" s="132" t="s">
        <v>451</v>
      </c>
      <c r="F1" s="218" t="s">
        <v>544</v>
      </c>
      <c r="N1" s="219"/>
    </row>
    <row r="2" spans="1:14" ht="25.5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opLeftCell="A10" zoomScale="80" zoomScaleNormal="80" workbookViewId="0">
      <selection activeCell="K25" sqref="K25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Gemeindewerke Bovenden GmbH &amp; Co. KG</v>
      </c>
      <c r="D4" s="77"/>
      <c r="G4" s="77"/>
      <c r="I4" s="77"/>
      <c r="J4" s="78"/>
      <c r="M4" s="87" t="s">
        <v>538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441</v>
      </c>
      <c r="C5" s="65" t="str">
        <f>Netzbetreiber!D28</f>
        <v>Gemeindewerke Bovenden</v>
      </c>
      <c r="D5" s="37"/>
      <c r="E5" s="77"/>
      <c r="F5" s="77"/>
      <c r="G5" s="77"/>
      <c r="I5" s="77"/>
      <c r="J5" s="77"/>
      <c r="K5" s="77"/>
      <c r="L5" s="77"/>
      <c r="M5" s="89" t="s">
        <v>507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439</v>
      </c>
      <c r="C6" s="64" t="str">
        <f>Netzbetreiber!$D$11</f>
        <v>9870015200007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44470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5" t="s">
        <v>455</v>
      </c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7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60" t="s">
        <v>582</v>
      </c>
      <c r="C10" s="361"/>
      <c r="D10" s="95">
        <v>2</v>
      </c>
      <c r="E10" s="96" t="str">
        <f>IF(ISERROR(HLOOKUP(E$11,$M$9:$AD$35,$D10,0)),"",HLOOKUP(E$11,$M$9:$AD$35,$D10,0))</f>
        <v/>
      </c>
      <c r="F10" s="358" t="s">
        <v>395</v>
      </c>
      <c r="G10" s="358"/>
      <c r="H10" s="358"/>
      <c r="I10" s="358"/>
      <c r="J10" s="358"/>
      <c r="K10" s="358"/>
      <c r="L10" s="359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.7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1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396</v>
      </c>
      <c r="C12" s="111"/>
      <c r="D12" s="112">
        <v>4</v>
      </c>
      <c r="E12" s="315">
        <f>MIN(SUMPRODUCT($M$11:$AD$11,M12:AD12),1)</f>
        <v>1</v>
      </c>
      <c r="F12" s="312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397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398</v>
      </c>
      <c r="C14" s="118"/>
      <c r="D14" s="112">
        <v>6</v>
      </c>
      <c r="E14" s="316">
        <f t="shared" si="0"/>
        <v>0</v>
      </c>
      <c r="F14" s="313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400</v>
      </c>
      <c r="C15" s="118"/>
      <c r="D15" s="112">
        <v>7</v>
      </c>
      <c r="E15" s="316">
        <f t="shared" si="0"/>
        <v>0</v>
      </c>
      <c r="F15" s="313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412</v>
      </c>
      <c r="C16" s="118"/>
      <c r="D16" s="112">
        <v>8</v>
      </c>
      <c r="E16" s="316">
        <f t="shared" si="0"/>
        <v>1</v>
      </c>
      <c r="F16" s="313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413</v>
      </c>
      <c r="C17" s="118"/>
      <c r="D17" s="112">
        <v>9</v>
      </c>
      <c r="E17" s="316">
        <f t="shared" si="0"/>
        <v>1</v>
      </c>
      <c r="F17" s="313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414</v>
      </c>
      <c r="C18" s="118"/>
      <c r="D18" s="112">
        <v>10</v>
      </c>
      <c r="E18" s="316">
        <f t="shared" si="0"/>
        <v>1</v>
      </c>
      <c r="F18" s="313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650</v>
      </c>
      <c r="C19" s="341"/>
      <c r="D19" s="112"/>
      <c r="E19" s="316">
        <v>1</v>
      </c>
      <c r="F19" s="313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401</v>
      </c>
      <c r="C20" s="118"/>
      <c r="D20" s="112">
        <v>11</v>
      </c>
      <c r="E20" s="316">
        <f t="shared" si="0"/>
        <v>1</v>
      </c>
      <c r="F20" s="313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648</v>
      </c>
      <c r="C21" s="118"/>
      <c r="D21" s="112">
        <v>12</v>
      </c>
      <c r="E21" s="316">
        <f t="shared" si="0"/>
        <v>1</v>
      </c>
      <c r="F21" s="313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415</v>
      </c>
      <c r="C22" s="118"/>
      <c r="D22" s="112">
        <v>13</v>
      </c>
      <c r="E22" s="316">
        <f t="shared" si="0"/>
        <v>1</v>
      </c>
      <c r="F22" s="313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416</v>
      </c>
      <c r="C23" s="118"/>
      <c r="D23" s="112">
        <v>14</v>
      </c>
      <c r="E23" s="316">
        <f t="shared" si="0"/>
        <v>1</v>
      </c>
      <c r="F23" s="313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417</v>
      </c>
      <c r="C24" s="118"/>
      <c r="D24" s="112">
        <v>15</v>
      </c>
      <c r="E24" s="316">
        <f t="shared" si="0"/>
        <v>0</v>
      </c>
      <c r="F24" s="313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402</v>
      </c>
      <c r="C25" s="118"/>
      <c r="D25" s="112">
        <v>16</v>
      </c>
      <c r="E25" s="316">
        <f t="shared" si="0"/>
        <v>0</v>
      </c>
      <c r="F25" s="313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403</v>
      </c>
      <c r="C26" s="118"/>
      <c r="D26" s="112">
        <v>17</v>
      </c>
      <c r="E26" s="316">
        <f t="shared" si="0"/>
        <v>0</v>
      </c>
      <c r="F26" s="313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649</v>
      </c>
      <c r="C27" s="341"/>
      <c r="D27" s="112"/>
      <c r="E27" s="316">
        <v>1</v>
      </c>
      <c r="F27" s="313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404</v>
      </c>
      <c r="C28" s="118"/>
      <c r="D28" s="112">
        <v>18</v>
      </c>
      <c r="E28" s="316">
        <f t="shared" si="0"/>
        <v>1</v>
      </c>
      <c r="F28" s="313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405</v>
      </c>
      <c r="C29" s="341"/>
      <c r="D29" s="342">
        <v>19</v>
      </c>
      <c r="E29" s="343">
        <v>1</v>
      </c>
      <c r="F29" s="313" t="s">
        <v>392</v>
      </c>
      <c r="G29" s="313" t="s">
        <v>392</v>
      </c>
      <c r="H29" s="313" t="s">
        <v>392</v>
      </c>
      <c r="I29" s="313" t="s">
        <v>392</v>
      </c>
      <c r="J29" s="313" t="s">
        <v>392</v>
      </c>
      <c r="K29" s="313" t="s">
        <v>392</v>
      </c>
      <c r="L29" s="313" t="s">
        <v>392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406</v>
      </c>
      <c r="C30" s="118"/>
      <c r="D30" s="112">
        <v>20</v>
      </c>
      <c r="E30" s="316">
        <f t="shared" si="0"/>
        <v>0</v>
      </c>
      <c r="F30" s="313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407</v>
      </c>
      <c r="C31" s="118"/>
      <c r="D31" s="112">
        <v>21</v>
      </c>
      <c r="E31" s="316">
        <f t="shared" si="0"/>
        <v>0</v>
      </c>
      <c r="F31" s="313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408</v>
      </c>
      <c r="C32" s="118"/>
      <c r="D32" s="112">
        <v>22</v>
      </c>
      <c r="E32" s="316">
        <f t="shared" si="0"/>
        <v>0</v>
      </c>
      <c r="F32" s="313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409</v>
      </c>
      <c r="C33" s="118"/>
      <c r="D33" s="112">
        <v>23</v>
      </c>
      <c r="E33" s="316">
        <f t="shared" si="0"/>
        <v>1</v>
      </c>
      <c r="F33" s="313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410</v>
      </c>
      <c r="C34" s="118"/>
      <c r="D34" s="112">
        <v>24</v>
      </c>
      <c r="E34" s="316">
        <f t="shared" si="0"/>
        <v>1</v>
      </c>
      <c r="F34" s="313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411</v>
      </c>
      <c r="C35" s="124"/>
      <c r="D35" s="125">
        <v>25</v>
      </c>
      <c r="E35" s="317">
        <f t="shared" si="0"/>
        <v>0</v>
      </c>
      <c r="F35" s="314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14" priority="9">
      <formula>IF(E$11="NB",1,0)</formula>
    </cfRule>
  </conditionalFormatting>
  <conditionalFormatting sqref="F12:L26 F28:L35">
    <cfRule type="expression" dxfId="13" priority="6">
      <formula>IF($E12=1,1,0)</formula>
    </cfRule>
  </conditionalFormatting>
  <conditionalFormatting sqref="M12:AD35">
    <cfRule type="expression" dxfId="12" priority="3">
      <formula>IF(M$11=1,1)</formula>
    </cfRule>
  </conditionalFormatting>
  <conditionalFormatting sqref="M9:AD10">
    <cfRule type="expression" dxfId="11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452</v>
      </c>
      <c r="B1" s="129"/>
      <c r="D1" s="218" t="s">
        <v>544</v>
      </c>
    </row>
    <row r="2" spans="1:16">
      <c r="A2" s="238"/>
      <c r="B2" s="237" t="s">
        <v>453</v>
      </c>
    </row>
    <row r="3" spans="1:16" ht="20.100000000000001" customHeight="1">
      <c r="A3" s="362" t="s">
        <v>249</v>
      </c>
      <c r="B3" s="239" t="s">
        <v>86</v>
      </c>
      <c r="C3" s="240"/>
      <c r="D3" s="364" t="s">
        <v>454</v>
      </c>
      <c r="E3" s="365"/>
      <c r="F3" s="365"/>
      <c r="G3" s="365"/>
      <c r="H3" s="365"/>
      <c r="I3" s="365"/>
      <c r="J3" s="366"/>
      <c r="K3" s="241"/>
      <c r="L3" s="241"/>
      <c r="M3" s="241"/>
      <c r="N3" s="241"/>
      <c r="O3" s="242"/>
      <c r="P3" s="241"/>
    </row>
    <row r="4" spans="1:16" ht="20.100000000000001" customHeight="1">
      <c r="A4" s="363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5.5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0" priority="2" stopIfTrue="1" operator="equal">
      <formula>$M7</formula>
    </cfRule>
  </conditionalFormatting>
  <conditionalFormatting sqref="D9:J9">
    <cfRule type="cellIs" dxfId="9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b9f00-f4e5-4488-840e-6084e0f110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Jens Junker</cp:lastModifiedBy>
  <cp:lastPrinted>2015-03-20T22:59:10Z</cp:lastPrinted>
  <dcterms:created xsi:type="dcterms:W3CDTF">2015-01-15T05:25:41Z</dcterms:created>
  <dcterms:modified xsi:type="dcterms:W3CDTF">2021-11-10T15:22:58Z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